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Дод 5" sheetId="11" r:id="rId1"/>
  </sheets>
  <definedNames>
    <definedName name="_xlnm._FilterDatabase" localSheetId="0" hidden="1">'Дод 5'!$A$12:$CO$115</definedName>
    <definedName name="_xlnm.Print_Titles" localSheetId="0">'Дод 5'!$A:$C,'Дод 5'!$5:$11</definedName>
    <definedName name="_xlnm.Print_Area" localSheetId="0">'Дод 5'!$A$1:$CL$115</definedName>
  </definedNames>
  <calcPr calcId="145621"/>
</workbook>
</file>

<file path=xl/calcChain.xml><?xml version="1.0" encoding="utf-8"?>
<calcChain xmlns="http://schemas.openxmlformats.org/spreadsheetml/2006/main">
  <c r="BS113" i="11" l="1"/>
  <c r="CD109" i="11" l="1"/>
  <c r="CD46" i="11"/>
  <c r="CD23" i="11"/>
  <c r="CD114" i="11" l="1"/>
  <c r="BQ113" i="11"/>
  <c r="BP113" i="11"/>
  <c r="BU114" i="11" l="1"/>
  <c r="BO113" i="11"/>
  <c r="BY97" i="11"/>
  <c r="BY59" i="11"/>
  <c r="BY84" i="11"/>
  <c r="BY91" i="11"/>
  <c r="BY44" i="11"/>
  <c r="BY33" i="11"/>
  <c r="BY27" i="11"/>
  <c r="BY26" i="11"/>
  <c r="BY18" i="11"/>
  <c r="BY17" i="11"/>
  <c r="BY13" i="11"/>
  <c r="CH109" i="11" l="1"/>
  <c r="CI109" i="11"/>
  <c r="CI46" i="11"/>
  <c r="CH23" i="11"/>
  <c r="CI23" i="11"/>
  <c r="CI114" i="11" l="1"/>
  <c r="BK109" i="11"/>
  <c r="BK46" i="11"/>
  <c r="BK23" i="11"/>
  <c r="H30" i="11"/>
  <c r="E109" i="11"/>
  <c r="F109" i="11"/>
  <c r="D46" i="11"/>
  <c r="E46" i="11"/>
  <c r="F46" i="11"/>
  <c r="D23" i="11"/>
  <c r="E23" i="11"/>
  <c r="F23" i="11"/>
  <c r="G23" i="11"/>
  <c r="H23" i="11"/>
  <c r="I23" i="11"/>
  <c r="O13" i="11"/>
  <c r="BK114" i="11" l="1"/>
  <c r="E114" i="11"/>
  <c r="BO109" i="11"/>
  <c r="BO46" i="11"/>
  <c r="BO23" i="11"/>
  <c r="BO114" i="11" l="1"/>
  <c r="S89" i="11"/>
  <c r="AC109" i="11" l="1"/>
  <c r="AC46" i="11"/>
  <c r="AC23" i="11"/>
  <c r="BT23" i="11" l="1"/>
  <c r="BT46" i="11"/>
  <c r="BT109" i="11"/>
  <c r="BT114" i="11" l="1"/>
  <c r="AV108" i="11" l="1"/>
  <c r="AV32" i="11"/>
  <c r="AV82" i="11"/>
  <c r="AV26" i="11"/>
  <c r="AF23" i="11" l="1"/>
  <c r="AF46" i="11"/>
  <c r="AF109" i="11"/>
  <c r="AF114" i="11" l="1"/>
  <c r="AA109" i="11"/>
  <c r="AA46" i="11"/>
  <c r="AA23" i="11"/>
  <c r="AA114" i="11" l="1"/>
  <c r="Q13" i="11"/>
  <c r="G109" i="11" l="1"/>
  <c r="G46" i="11"/>
  <c r="G114" i="11" l="1"/>
  <c r="BY53" i="11"/>
  <c r="BY72" i="11" l="1"/>
  <c r="BY101" i="11"/>
  <c r="BY69" i="11"/>
  <c r="BY62" i="11"/>
  <c r="BY76" i="11"/>
  <c r="BY47" i="11"/>
  <c r="BY38" i="11"/>
  <c r="BY28" i="11"/>
  <c r="BY24" i="11"/>
  <c r="BY21" i="11"/>
  <c r="BY16" i="11"/>
  <c r="BY15" i="11"/>
  <c r="BY12" i="11"/>
  <c r="BD109" i="11" l="1"/>
  <c r="BE109" i="11"/>
  <c r="BD46" i="11"/>
  <c r="BE46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C99" i="11"/>
  <c r="BC100" i="11"/>
  <c r="BC101" i="11"/>
  <c r="BC102" i="11"/>
  <c r="BC103" i="11"/>
  <c r="BC104" i="11"/>
  <c r="BC105" i="11"/>
  <c r="BC106" i="11"/>
  <c r="BC107" i="11"/>
  <c r="BC108" i="11"/>
  <c r="BC110" i="11"/>
  <c r="BC111" i="11"/>
  <c r="BC112" i="11"/>
  <c r="BC113" i="11"/>
  <c r="BC12" i="11"/>
  <c r="AS48" i="11"/>
  <c r="AT48" i="11"/>
  <c r="BE114" i="11" l="1"/>
  <c r="BD114" i="11"/>
  <c r="BC109" i="11"/>
  <c r="BC46" i="11"/>
  <c r="Q109" i="11"/>
  <c r="N46" i="11"/>
  <c r="O46" i="11"/>
  <c r="P46" i="11"/>
  <c r="Q46" i="11"/>
  <c r="Q23" i="11"/>
  <c r="P23" i="11"/>
  <c r="U13" i="11"/>
  <c r="L110" i="11"/>
  <c r="BC114" i="11" l="1"/>
  <c r="Q114" i="11"/>
  <c r="BZ20" i="11" l="1"/>
  <c r="AQ112" i="11" l="1"/>
  <c r="AL112" i="11" s="1"/>
  <c r="AZ112" i="11"/>
  <c r="AY112" i="11"/>
  <c r="AW40" i="11"/>
  <c r="AV107" i="11"/>
  <c r="AV106" i="11"/>
  <c r="AV105" i="11"/>
  <c r="AV104" i="11"/>
  <c r="AV103" i="11"/>
  <c r="AV102" i="11"/>
  <c r="AV101" i="11"/>
  <c r="AV100" i="11"/>
  <c r="AV99" i="11"/>
  <c r="AV98" i="11"/>
  <c r="AV97" i="11"/>
  <c r="AV96" i="11"/>
  <c r="AV95" i="11"/>
  <c r="AV94" i="11"/>
  <c r="AV93" i="11"/>
  <c r="AV92" i="11"/>
  <c r="AV91" i="11"/>
  <c r="AV90" i="11"/>
  <c r="AV89" i="11"/>
  <c r="AV88" i="11"/>
  <c r="AV87" i="11"/>
  <c r="AV86" i="11"/>
  <c r="AV85" i="11"/>
  <c r="AV84" i="11"/>
  <c r="AV83" i="11"/>
  <c r="AV81" i="11"/>
  <c r="AV80" i="11"/>
  <c r="AV79" i="11"/>
  <c r="AV78" i="11"/>
  <c r="AV77" i="11"/>
  <c r="AV76" i="11"/>
  <c r="AV75" i="11"/>
  <c r="AV74" i="11"/>
  <c r="AV73" i="11"/>
  <c r="AV72" i="11"/>
  <c r="AV71" i="11"/>
  <c r="AV70" i="11"/>
  <c r="AV69" i="11"/>
  <c r="AV68" i="11"/>
  <c r="AV67" i="11"/>
  <c r="AV66" i="11"/>
  <c r="AV65" i="11"/>
  <c r="AV64" i="11"/>
  <c r="AV63" i="11"/>
  <c r="AV62" i="11"/>
  <c r="AV61" i="11"/>
  <c r="AV60" i="11"/>
  <c r="AV59" i="11"/>
  <c r="AV58" i="11"/>
  <c r="AV57" i="11"/>
  <c r="AV56" i="11"/>
  <c r="AV55" i="11"/>
  <c r="AV54" i="11"/>
  <c r="AV53" i="11"/>
  <c r="AV52" i="11"/>
  <c r="AV51" i="11"/>
  <c r="AV50" i="11"/>
  <c r="AV49" i="11"/>
  <c r="AV48" i="11"/>
  <c r="AV47" i="11"/>
  <c r="AV45" i="11"/>
  <c r="AV44" i="11"/>
  <c r="AV43" i="11"/>
  <c r="AV42" i="11"/>
  <c r="AV41" i="11"/>
  <c r="AV40" i="11"/>
  <c r="AV39" i="11"/>
  <c r="AV38" i="11"/>
  <c r="AV37" i="11"/>
  <c r="AV36" i="11"/>
  <c r="AV35" i="11"/>
  <c r="AV33" i="11" l="1"/>
  <c r="AV31" i="11"/>
  <c r="AV30" i="11"/>
  <c r="AV29" i="11"/>
  <c r="AV28" i="11"/>
  <c r="AV27" i="11"/>
  <c r="AV25" i="11"/>
  <c r="AV22" i="11"/>
  <c r="AV21" i="11"/>
  <c r="AV20" i="11"/>
  <c r="AV19" i="11"/>
  <c r="AV18" i="11"/>
  <c r="AV17" i="11"/>
  <c r="AV16" i="11"/>
  <c r="AV15" i="11"/>
  <c r="AV14" i="11"/>
  <c r="AV13" i="11"/>
  <c r="AV12" i="11"/>
  <c r="AO15" i="11"/>
  <c r="AM26" i="11"/>
  <c r="S109" i="11" l="1"/>
  <c r="U109" i="11"/>
  <c r="V109" i="11"/>
  <c r="R46" i="11"/>
  <c r="S46" i="11"/>
  <c r="T46" i="11"/>
  <c r="U46" i="11"/>
  <c r="V46" i="11"/>
  <c r="S114" i="11" l="1"/>
  <c r="BW109" i="11"/>
  <c r="BW46" i="11"/>
  <c r="BW23" i="11"/>
  <c r="BW114" i="11" l="1"/>
  <c r="CF112" i="11"/>
  <c r="CF88" i="11"/>
  <c r="CF86" i="11"/>
  <c r="CF49" i="11"/>
  <c r="BH24" i="11" l="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BH99" i="11"/>
  <c r="BH100" i="11"/>
  <c r="BH101" i="11"/>
  <c r="BH102" i="11"/>
  <c r="BH103" i="11"/>
  <c r="BH104" i="11"/>
  <c r="BH105" i="11"/>
  <c r="BH106" i="11"/>
  <c r="BH107" i="11"/>
  <c r="BH108" i="11"/>
  <c r="BH110" i="11"/>
  <c r="CL110" i="11" s="1"/>
  <c r="BH111" i="11"/>
  <c r="CL111" i="11" s="1"/>
  <c r="BH112" i="11"/>
  <c r="BH113" i="11"/>
  <c r="CL113" i="11" s="1"/>
  <c r="BH13" i="11"/>
  <c r="BH14" i="11"/>
  <c r="BH15" i="11"/>
  <c r="BH16" i="11"/>
  <c r="BH17" i="11"/>
  <c r="BH18" i="11"/>
  <c r="BH19" i="11"/>
  <c r="BH20" i="11"/>
  <c r="BH21" i="11"/>
  <c r="BH22" i="11"/>
  <c r="BH12" i="11"/>
  <c r="BJ109" i="11"/>
  <c r="BJ46" i="11"/>
  <c r="BJ23" i="11"/>
  <c r="BJ114" i="11" l="1"/>
  <c r="BV40" i="11"/>
  <c r="CC109" i="11" l="1"/>
  <c r="CB46" i="11"/>
  <c r="CC46" i="11"/>
  <c r="CA23" i="11"/>
  <c r="CB23" i="11"/>
  <c r="CC23" i="11"/>
  <c r="CC112" i="11"/>
  <c r="CC114" i="11" l="1"/>
  <c r="BA114" i="11"/>
  <c r="BI109" i="11" l="1"/>
  <c r="BH109" i="11" s="1"/>
  <c r="BI46" i="11"/>
  <c r="BH46" i="11" s="1"/>
  <c r="BI23" i="11"/>
  <c r="BH23" i="11" s="1"/>
  <c r="BI114" i="11" l="1"/>
  <c r="BH114" i="11" s="1"/>
  <c r="BV109" i="11"/>
  <c r="BV46" i="11"/>
  <c r="BV23" i="11"/>
  <c r="BV114" i="11" l="1"/>
  <c r="AZ23" i="11" l="1"/>
  <c r="AZ46" i="11"/>
  <c r="AH25" i="11" l="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3" i="11"/>
  <c r="AH44" i="11"/>
  <c r="AH45" i="11"/>
  <c r="AH42" i="11"/>
  <c r="AJ109" i="11"/>
  <c r="AK109" i="11"/>
  <c r="AJ46" i="11"/>
  <c r="AK46" i="11"/>
  <c r="AK114" i="11" l="1"/>
  <c r="BP109" i="11"/>
  <c r="BQ109" i="11"/>
  <c r="BS109" i="11"/>
  <c r="BN46" i="11"/>
  <c r="BP46" i="11"/>
  <c r="BQ46" i="11"/>
  <c r="BS46" i="11"/>
  <c r="BS23" i="11"/>
  <c r="BL23" i="11"/>
  <c r="BM23" i="11"/>
  <c r="BN23" i="11"/>
  <c r="BP23" i="11"/>
  <c r="BQ23" i="11"/>
  <c r="Z109" i="11"/>
  <c r="Z46" i="11"/>
  <c r="Z23" i="11"/>
  <c r="BQ114" i="11" l="1"/>
  <c r="Z114" i="11"/>
  <c r="BZ109" i="11"/>
  <c r="CA109" i="11"/>
  <c r="CB109" i="11"/>
  <c r="CB114" i="11" s="1"/>
  <c r="BN109" i="11"/>
  <c r="W12" i="11"/>
  <c r="W13" i="11"/>
  <c r="W14" i="11"/>
  <c r="W15" i="11"/>
  <c r="W16" i="11"/>
  <c r="W17" i="11"/>
  <c r="W18" i="11"/>
  <c r="W19" i="11"/>
  <c r="W20" i="11"/>
  <c r="W21" i="11"/>
  <c r="W22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W99" i="11"/>
  <c r="W100" i="11"/>
  <c r="W101" i="11"/>
  <c r="W102" i="11"/>
  <c r="W103" i="11"/>
  <c r="W104" i="11"/>
  <c r="W105" i="11"/>
  <c r="W106" i="11"/>
  <c r="W107" i="11"/>
  <c r="W108" i="11"/>
  <c r="AI112" i="11"/>
  <c r="BP114" i="11"/>
  <c r="AU34" i="11" l="1"/>
  <c r="AW46" i="11"/>
  <c r="AU112" i="11"/>
  <c r="AV23" i="11"/>
  <c r="AW23" i="11"/>
  <c r="AW109" i="11"/>
  <c r="AY109" i="11"/>
  <c r="AV109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AU99" i="11"/>
  <c r="AU100" i="11"/>
  <c r="AU101" i="11"/>
  <c r="AU102" i="11"/>
  <c r="AU103" i="11"/>
  <c r="AU104" i="11"/>
  <c r="AU105" i="11"/>
  <c r="AU106" i="11"/>
  <c r="AU107" i="11"/>
  <c r="AU108" i="11"/>
  <c r="AU47" i="11"/>
  <c r="AY46" i="11"/>
  <c r="AV46" i="11"/>
  <c r="AU24" i="11"/>
  <c r="AU25" i="11"/>
  <c r="AU26" i="11"/>
  <c r="AU27" i="11"/>
  <c r="AU28" i="11"/>
  <c r="AU29" i="11"/>
  <c r="AU30" i="11"/>
  <c r="AU31" i="11"/>
  <c r="AU32" i="11"/>
  <c r="AU33" i="11"/>
  <c r="AU35" i="11"/>
  <c r="AU36" i="11"/>
  <c r="AU37" i="11"/>
  <c r="AU38" i="11"/>
  <c r="AU39" i="11"/>
  <c r="AU40" i="11"/>
  <c r="AU41" i="11"/>
  <c r="AU42" i="11"/>
  <c r="AU43" i="11"/>
  <c r="AU44" i="11"/>
  <c r="AU45" i="11"/>
  <c r="AY23" i="11"/>
  <c r="AU13" i="11"/>
  <c r="AU14" i="11"/>
  <c r="AU15" i="11"/>
  <c r="AU16" i="11"/>
  <c r="AU17" i="11"/>
  <c r="AU18" i="11"/>
  <c r="AU19" i="11"/>
  <c r="AU20" i="11"/>
  <c r="AU21" i="11"/>
  <c r="AU22" i="11"/>
  <c r="AU12" i="11"/>
  <c r="BB109" i="11"/>
  <c r="AZ109" i="11"/>
  <c r="BB46" i="11"/>
  <c r="BB23" i="11"/>
  <c r="BN114" i="11"/>
  <c r="BR114" i="11" l="1"/>
  <c r="BB114" i="11"/>
  <c r="AY114" i="11"/>
  <c r="AU109" i="11"/>
  <c r="AU23" i="11"/>
  <c r="AU46" i="11"/>
  <c r="AM109" i="11"/>
  <c r="AN109" i="11"/>
  <c r="AO109" i="11"/>
  <c r="AP109" i="11"/>
  <c r="AQ109" i="11"/>
  <c r="AL108" i="11"/>
  <c r="AL107" i="11"/>
  <c r="AL106" i="11"/>
  <c r="AL105" i="11"/>
  <c r="AL104" i="11"/>
  <c r="AL103" i="11"/>
  <c r="AL102" i="11"/>
  <c r="AL101" i="11"/>
  <c r="AL100" i="11"/>
  <c r="AL99" i="11"/>
  <c r="AL98" i="11"/>
  <c r="AL97" i="11"/>
  <c r="AL96" i="11"/>
  <c r="AL95" i="11"/>
  <c r="AL94" i="11"/>
  <c r="AL93" i="11"/>
  <c r="AL92" i="11"/>
  <c r="AL91" i="11"/>
  <c r="AL90" i="11"/>
  <c r="AL89" i="11"/>
  <c r="AL88" i="11"/>
  <c r="AL87" i="11"/>
  <c r="AL86" i="11"/>
  <c r="AL85" i="11"/>
  <c r="AL84" i="11"/>
  <c r="AL83" i="11"/>
  <c r="AL82" i="11"/>
  <c r="AL81" i="11"/>
  <c r="AL80" i="11"/>
  <c r="AL79" i="11"/>
  <c r="AL78" i="11"/>
  <c r="AL77" i="11"/>
  <c r="AL76" i="11"/>
  <c r="AL75" i="11"/>
  <c r="AL74" i="11"/>
  <c r="AL73" i="11"/>
  <c r="AL72" i="11"/>
  <c r="AL71" i="11"/>
  <c r="AL70" i="11"/>
  <c r="AL69" i="11"/>
  <c r="AL68" i="11"/>
  <c r="AL67" i="11"/>
  <c r="AL66" i="11"/>
  <c r="AL65" i="11"/>
  <c r="AL64" i="11"/>
  <c r="AL63" i="11"/>
  <c r="AL62" i="11"/>
  <c r="AL61" i="11"/>
  <c r="AL60" i="11"/>
  <c r="AL59" i="11"/>
  <c r="AL58" i="11"/>
  <c r="AL57" i="11"/>
  <c r="AL56" i="11"/>
  <c r="AL55" i="11"/>
  <c r="AL54" i="11"/>
  <c r="AL53" i="11"/>
  <c r="AL52" i="11"/>
  <c r="AL51" i="11"/>
  <c r="AL50" i="11"/>
  <c r="AL49" i="11"/>
  <c r="AL48" i="11"/>
  <c r="AL47" i="11"/>
  <c r="AM46" i="11"/>
  <c r="AN46" i="11"/>
  <c r="AO46" i="11"/>
  <c r="AP46" i="11"/>
  <c r="AQ46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24" i="11"/>
  <c r="AM23" i="11"/>
  <c r="AN23" i="11"/>
  <c r="AO23" i="11"/>
  <c r="AP23" i="11"/>
  <c r="AQ23" i="11"/>
  <c r="AL13" i="11"/>
  <c r="AL14" i="11"/>
  <c r="AL15" i="11"/>
  <c r="AL16" i="11"/>
  <c r="AL17" i="11"/>
  <c r="AL18" i="11"/>
  <c r="AL19" i="11"/>
  <c r="AL20" i="11"/>
  <c r="AL21" i="11"/>
  <c r="AL22" i="11"/>
  <c r="AL12" i="11"/>
  <c r="AR112" i="11"/>
  <c r="AT108" i="11"/>
  <c r="AS108" i="11"/>
  <c r="AT107" i="11"/>
  <c r="AS107" i="11"/>
  <c r="AT105" i="11"/>
  <c r="AS105" i="11"/>
  <c r="AT104" i="11"/>
  <c r="AS104" i="11"/>
  <c r="AT95" i="11"/>
  <c r="AS95" i="11"/>
  <c r="AT93" i="11"/>
  <c r="AS93" i="11"/>
  <c r="AT92" i="11"/>
  <c r="AS92" i="11"/>
  <c r="AT90" i="11"/>
  <c r="AS90" i="11"/>
  <c r="AT89" i="11"/>
  <c r="AS89" i="11"/>
  <c r="AT87" i="11"/>
  <c r="AS87" i="11"/>
  <c r="AT86" i="11"/>
  <c r="AS86" i="11"/>
  <c r="AT84" i="11"/>
  <c r="AS84" i="11"/>
  <c r="AT83" i="11"/>
  <c r="AS83" i="11"/>
  <c r="AT82" i="11"/>
  <c r="AS82" i="11"/>
  <c r="AT80" i="11"/>
  <c r="AS80" i="11"/>
  <c r="AT77" i="11"/>
  <c r="AS77" i="11"/>
  <c r="AT73" i="11"/>
  <c r="AS73" i="11"/>
  <c r="AT72" i="11"/>
  <c r="AS72" i="11"/>
  <c r="AT70" i="11"/>
  <c r="AS70" i="11"/>
  <c r="AT69" i="11"/>
  <c r="AS69" i="11"/>
  <c r="AT67" i="11"/>
  <c r="AS67" i="11"/>
  <c r="AT65" i="11"/>
  <c r="AS65" i="11"/>
  <c r="AT64" i="11"/>
  <c r="AS64" i="11"/>
  <c r="AT63" i="11"/>
  <c r="AS63" i="11"/>
  <c r="AT62" i="11"/>
  <c r="AS62" i="11"/>
  <c r="AT61" i="11"/>
  <c r="AS61" i="11"/>
  <c r="AT59" i="11"/>
  <c r="AS59" i="11"/>
  <c r="AT58" i="11"/>
  <c r="AS58" i="11"/>
  <c r="AT57" i="11"/>
  <c r="AS57" i="11"/>
  <c r="AT52" i="11"/>
  <c r="AS52" i="11"/>
  <c r="AT51" i="11"/>
  <c r="AS51" i="11"/>
  <c r="AT49" i="11"/>
  <c r="AS49" i="11"/>
  <c r="AT47" i="11"/>
  <c r="AS47" i="11"/>
  <c r="AT40" i="11"/>
  <c r="AS40" i="11"/>
  <c r="AT38" i="11"/>
  <c r="AS38" i="11"/>
  <c r="AT37" i="11"/>
  <c r="AS37" i="11"/>
  <c r="AT36" i="11"/>
  <c r="AS36" i="11"/>
  <c r="AT35" i="11"/>
  <c r="AS35" i="11"/>
  <c r="AT33" i="11"/>
  <c r="AS33" i="11"/>
  <c r="AT32" i="11"/>
  <c r="AS32" i="11"/>
  <c r="AT30" i="11"/>
  <c r="AS30" i="11"/>
  <c r="AT29" i="11"/>
  <c r="AS29" i="11"/>
  <c r="AT27" i="11"/>
  <c r="AS27" i="11"/>
  <c r="AT26" i="11"/>
  <c r="AS26" i="11"/>
  <c r="AT25" i="11"/>
  <c r="AS25" i="11"/>
  <c r="AT22" i="11"/>
  <c r="AS22" i="11"/>
  <c r="AT21" i="11"/>
  <c r="AS21" i="11"/>
  <c r="AT20" i="11"/>
  <c r="AS20" i="11"/>
  <c r="AT19" i="11"/>
  <c r="AS19" i="11"/>
  <c r="AT18" i="11"/>
  <c r="AS18" i="11"/>
  <c r="AT17" i="11"/>
  <c r="AS17" i="11"/>
  <c r="AT16" i="11"/>
  <c r="AS16" i="11"/>
  <c r="AT15" i="11"/>
  <c r="AS15" i="11"/>
  <c r="AT14" i="11"/>
  <c r="AS14" i="11"/>
  <c r="AT13" i="11"/>
  <c r="AS13" i="11"/>
  <c r="AT12" i="11"/>
  <c r="AS12" i="11"/>
  <c r="Y44" i="11"/>
  <c r="Y41" i="11"/>
  <c r="Y36" i="11"/>
  <c r="Y34" i="11"/>
  <c r="Y30" i="11"/>
  <c r="Y29" i="11"/>
  <c r="Y28" i="11"/>
  <c r="Y27" i="11"/>
  <c r="Y25" i="11"/>
  <c r="Y112" i="11"/>
  <c r="AP114" i="11" l="1"/>
  <c r="AL109" i="11"/>
  <c r="AN114" i="11"/>
  <c r="AL46" i="11"/>
  <c r="AM114" i="11"/>
  <c r="AO114" i="11"/>
  <c r="AL23" i="11"/>
  <c r="CA46" i="11"/>
  <c r="CA114" i="11" l="1"/>
  <c r="BZ46" i="11"/>
  <c r="BZ23" i="11"/>
  <c r="BZ114" i="11" l="1"/>
  <c r="L46" i="11"/>
  <c r="M46" i="11"/>
  <c r="I46" i="11"/>
  <c r="J46" i="11"/>
  <c r="L23" i="11"/>
  <c r="M23" i="11"/>
  <c r="R109" i="11"/>
  <c r="O109" i="11"/>
  <c r="D109" i="11"/>
  <c r="T23" i="11"/>
  <c r="R23" i="11"/>
  <c r="R114" i="11" l="1"/>
  <c r="I61" i="11"/>
  <c r="W61" i="11" s="1"/>
  <c r="U23" i="11" l="1"/>
  <c r="U114" i="11" s="1"/>
  <c r="AZ114" i="11" l="1"/>
  <c r="AV114" i="11" l="1"/>
  <c r="AW114" i="11"/>
  <c r="K23" i="11"/>
  <c r="AU114" i="11" l="1"/>
  <c r="BX109" i="11"/>
  <c r="BX46" i="11"/>
  <c r="BX23" i="11"/>
  <c r="BX114" i="11" l="1"/>
  <c r="CG46" i="11" l="1"/>
  <c r="CH46" i="11"/>
  <c r="CH114" i="11" s="1"/>
  <c r="AQ114" i="11"/>
  <c r="AL114" i="11"/>
  <c r="O23" i="11" l="1"/>
  <c r="O114" i="11" s="1"/>
  <c r="CJ114" i="11"/>
  <c r="CE112" i="11"/>
  <c r="CE109" i="11"/>
  <c r="BG33" i="11" l="1"/>
  <c r="BG104" i="11"/>
  <c r="BF104" i="11"/>
  <c r="BF33" i="11"/>
  <c r="W110" i="11" l="1"/>
  <c r="W111" i="11"/>
  <c r="W112" i="11"/>
  <c r="W113" i="11"/>
  <c r="V23" i="11"/>
  <c r="V114" i="11" s="1"/>
  <c r="H109" i="11" l="1"/>
  <c r="H46" i="11"/>
  <c r="F114" i="11"/>
  <c r="D114" i="11"/>
  <c r="H114" i="11" l="1"/>
  <c r="N23" i="11"/>
  <c r="L109" i="11"/>
  <c r="L114" i="11" s="1"/>
  <c r="M109" i="11"/>
  <c r="M114" i="11" s="1"/>
  <c r="N109" i="11"/>
  <c r="BL109" i="11"/>
  <c r="BM109" i="11"/>
  <c r="BL46" i="11"/>
  <c r="BM46" i="11"/>
  <c r="BM114" i="11" l="1"/>
  <c r="N114" i="11"/>
  <c r="BL114" i="11"/>
  <c r="P109" i="11" l="1"/>
  <c r="P114" i="11" s="1"/>
  <c r="T109" i="11"/>
  <c r="T114" i="11" s="1"/>
  <c r="CE114" i="11" l="1"/>
  <c r="K46" i="11" l="1"/>
  <c r="W46" i="11" s="1"/>
  <c r="BY46" i="11" l="1"/>
  <c r="CF46" i="11"/>
  <c r="BY109" i="11"/>
  <c r="CF109" i="11"/>
  <c r="CG109" i="11"/>
  <c r="BY23" i="11"/>
  <c r="CF23" i="11"/>
  <c r="CG23" i="11"/>
  <c r="CG114" i="11" l="1"/>
  <c r="BS114" i="11"/>
  <c r="J109" i="11" l="1"/>
  <c r="K109" i="11"/>
  <c r="K114" i="11" l="1"/>
  <c r="BF109" i="11"/>
  <c r="I109" i="11" l="1"/>
  <c r="W109" i="11" s="1"/>
  <c r="I114" i="11" l="1"/>
  <c r="J23" i="11" l="1"/>
  <c r="W23" i="11" s="1"/>
  <c r="X23" i="11"/>
  <c r="Y23" i="11"/>
  <c r="J114" i="11" l="1"/>
  <c r="BF23" i="11"/>
  <c r="W114" i="11" l="1"/>
  <c r="BG109" i="11"/>
  <c r="BG46" i="11"/>
  <c r="BG23" i="11"/>
  <c r="BG114" i="11" l="1"/>
  <c r="AT109" i="11"/>
  <c r="AS109" i="11"/>
  <c r="AR108" i="11"/>
  <c r="AR107" i="11"/>
  <c r="AR106" i="11"/>
  <c r="AR105" i="11"/>
  <c r="AR104" i="11"/>
  <c r="AR103" i="11"/>
  <c r="AR102" i="11"/>
  <c r="AR101" i="11"/>
  <c r="AR100" i="11"/>
  <c r="AR99" i="11"/>
  <c r="AR98" i="11"/>
  <c r="AR97" i="11"/>
  <c r="AR96" i="11"/>
  <c r="AR95" i="11"/>
  <c r="AR94" i="11"/>
  <c r="AR93" i="11"/>
  <c r="AR92" i="11"/>
  <c r="AR91" i="11"/>
  <c r="AR90" i="11"/>
  <c r="AR89" i="11"/>
  <c r="AR88" i="11"/>
  <c r="AR87" i="11"/>
  <c r="AR86" i="11"/>
  <c r="AR85" i="11"/>
  <c r="AR84" i="11"/>
  <c r="AR83" i="11"/>
  <c r="AR82" i="11"/>
  <c r="AR81" i="11"/>
  <c r="AR80" i="11"/>
  <c r="AR79" i="11"/>
  <c r="AR78" i="11"/>
  <c r="AR77" i="11"/>
  <c r="AR76" i="11"/>
  <c r="AR75" i="11"/>
  <c r="AR74" i="11"/>
  <c r="AR73" i="11"/>
  <c r="AR72" i="11"/>
  <c r="AR71" i="11"/>
  <c r="AR70" i="11"/>
  <c r="AR69" i="11"/>
  <c r="AR68" i="11"/>
  <c r="AR67" i="11"/>
  <c r="AR66" i="11"/>
  <c r="AR65" i="11"/>
  <c r="AR64" i="11"/>
  <c r="AR63" i="11"/>
  <c r="AR62" i="11"/>
  <c r="AR61" i="11"/>
  <c r="AR60" i="11"/>
  <c r="AR59" i="11"/>
  <c r="AR58" i="11"/>
  <c r="AR57" i="11"/>
  <c r="AR56" i="11"/>
  <c r="AR55" i="11"/>
  <c r="AR54" i="11"/>
  <c r="AR53" i="11"/>
  <c r="AR52" i="11"/>
  <c r="AR51" i="11"/>
  <c r="AR50" i="11"/>
  <c r="AR49" i="11"/>
  <c r="AR48" i="11"/>
  <c r="AR47" i="11"/>
  <c r="AT46" i="11"/>
  <c r="AS46" i="11"/>
  <c r="AR45" i="11"/>
  <c r="CL45" i="11" s="1"/>
  <c r="AR44" i="11"/>
  <c r="CL44" i="11" s="1"/>
  <c r="AR43" i="11"/>
  <c r="CL43" i="11" s="1"/>
  <c r="AR42" i="11"/>
  <c r="CL42" i="11" s="1"/>
  <c r="AR41" i="11"/>
  <c r="CL41" i="11" s="1"/>
  <c r="AR40" i="11"/>
  <c r="CL40" i="11" s="1"/>
  <c r="AR39" i="11"/>
  <c r="CL39" i="11" s="1"/>
  <c r="AR38" i="11"/>
  <c r="CL38" i="11" s="1"/>
  <c r="AR37" i="11"/>
  <c r="CL37" i="11" s="1"/>
  <c r="AR36" i="11"/>
  <c r="CL36" i="11" s="1"/>
  <c r="AR35" i="11"/>
  <c r="CL35" i="11" s="1"/>
  <c r="AR34" i="11"/>
  <c r="CL34" i="11" s="1"/>
  <c r="AR33" i="11"/>
  <c r="CL33" i="11" s="1"/>
  <c r="AR32" i="11"/>
  <c r="CL32" i="11" s="1"/>
  <c r="AR31" i="11"/>
  <c r="CL31" i="11" s="1"/>
  <c r="AR30" i="11"/>
  <c r="CL30" i="11" s="1"/>
  <c r="AR29" i="11"/>
  <c r="CL29" i="11" s="1"/>
  <c r="AR28" i="11"/>
  <c r="CL28" i="11" s="1"/>
  <c r="AR27" i="11"/>
  <c r="CL27" i="11" s="1"/>
  <c r="AR26" i="11"/>
  <c r="CL26" i="11" s="1"/>
  <c r="AR25" i="11"/>
  <c r="CL25" i="11" s="1"/>
  <c r="AR24" i="11"/>
  <c r="AT23" i="11"/>
  <c r="AS23" i="11"/>
  <c r="AR22" i="11"/>
  <c r="AR21" i="11"/>
  <c r="AR20" i="11"/>
  <c r="AR19" i="11"/>
  <c r="AR18" i="11"/>
  <c r="AR17" i="11"/>
  <c r="AR16" i="11"/>
  <c r="AR15" i="11"/>
  <c r="AR14" i="11"/>
  <c r="AR13" i="11"/>
  <c r="AR12" i="11"/>
  <c r="AH112" i="11"/>
  <c r="CL112" i="11" s="1"/>
  <c r="AI109" i="11"/>
  <c r="AH108" i="11"/>
  <c r="CL108" i="11" s="1"/>
  <c r="AH107" i="11"/>
  <c r="CL107" i="11" s="1"/>
  <c r="AH106" i="11"/>
  <c r="CL106" i="11" s="1"/>
  <c r="AH105" i="11"/>
  <c r="AH104" i="11"/>
  <c r="CL104" i="11" s="1"/>
  <c r="AH103" i="11"/>
  <c r="CL103" i="11" s="1"/>
  <c r="AH102" i="11"/>
  <c r="CL102" i="11" s="1"/>
  <c r="AH101" i="11"/>
  <c r="AH100" i="11"/>
  <c r="CL100" i="11" s="1"/>
  <c r="AH99" i="11"/>
  <c r="CL99" i="11" s="1"/>
  <c r="AH98" i="11"/>
  <c r="CL98" i="11" s="1"/>
  <c r="AH97" i="11"/>
  <c r="AH96" i="11"/>
  <c r="CL96" i="11" s="1"/>
  <c r="AH95" i="11"/>
  <c r="CL95" i="11" s="1"/>
  <c r="AH94" i="11"/>
  <c r="CL94" i="11" s="1"/>
  <c r="AH93" i="11"/>
  <c r="AH92" i="11"/>
  <c r="CL92" i="11" s="1"/>
  <c r="AH91" i="11"/>
  <c r="CL91" i="11" s="1"/>
  <c r="AH90" i="11"/>
  <c r="CL90" i="11" s="1"/>
  <c r="AH89" i="11"/>
  <c r="AH88" i="11"/>
  <c r="CL88" i="11" s="1"/>
  <c r="AH87" i="11"/>
  <c r="CL87" i="11" s="1"/>
  <c r="AH86" i="11"/>
  <c r="CL86" i="11" s="1"/>
  <c r="AH85" i="11"/>
  <c r="AH84" i="11"/>
  <c r="CL84" i="11" s="1"/>
  <c r="AH83" i="11"/>
  <c r="CL83" i="11" s="1"/>
  <c r="AH82" i="11"/>
  <c r="CL82" i="11" s="1"/>
  <c r="AH81" i="11"/>
  <c r="AH80" i="11"/>
  <c r="CL80" i="11" s="1"/>
  <c r="AH79" i="11"/>
  <c r="CL79" i="11" s="1"/>
  <c r="AH78" i="11"/>
  <c r="CL78" i="11" s="1"/>
  <c r="AH77" i="11"/>
  <c r="AH76" i="11"/>
  <c r="CL76" i="11" s="1"/>
  <c r="AH75" i="11"/>
  <c r="CL75" i="11" s="1"/>
  <c r="AH74" i="11"/>
  <c r="CL74" i="11" s="1"/>
  <c r="AH73" i="11"/>
  <c r="AH72" i="11"/>
  <c r="CL72" i="11" s="1"/>
  <c r="AH71" i="11"/>
  <c r="CL71" i="11" s="1"/>
  <c r="AH70" i="11"/>
  <c r="CL70" i="11" s="1"/>
  <c r="AH69" i="11"/>
  <c r="AH68" i="11"/>
  <c r="CL68" i="11" s="1"/>
  <c r="AH67" i="11"/>
  <c r="CL67" i="11" s="1"/>
  <c r="AH66" i="11"/>
  <c r="CL66" i="11" s="1"/>
  <c r="AH65" i="11"/>
  <c r="AH64" i="11"/>
  <c r="CL64" i="11" s="1"/>
  <c r="AH63" i="11"/>
  <c r="CL63" i="11" s="1"/>
  <c r="AH62" i="11"/>
  <c r="CL62" i="11" s="1"/>
  <c r="AH61" i="11"/>
  <c r="AH60" i="11"/>
  <c r="CL60" i="11" s="1"/>
  <c r="AH59" i="11"/>
  <c r="CL59" i="11" s="1"/>
  <c r="AH58" i="11"/>
  <c r="CL58" i="11" s="1"/>
  <c r="AH57" i="11"/>
  <c r="AH56" i="11"/>
  <c r="CL56" i="11" s="1"/>
  <c r="AH55" i="11"/>
  <c r="CL55" i="11" s="1"/>
  <c r="AH54" i="11"/>
  <c r="CL54" i="11" s="1"/>
  <c r="AH53" i="11"/>
  <c r="AH52" i="11"/>
  <c r="CL52" i="11" s="1"/>
  <c r="AH51" i="11"/>
  <c r="CL51" i="11" s="1"/>
  <c r="AH50" i="11"/>
  <c r="CL50" i="11" s="1"/>
  <c r="AH49" i="11"/>
  <c r="AH48" i="11"/>
  <c r="CL48" i="11" s="1"/>
  <c r="AH47" i="11"/>
  <c r="CL47" i="11" s="1"/>
  <c r="AI46" i="11"/>
  <c r="AH24" i="11"/>
  <c r="AJ23" i="11"/>
  <c r="AI23" i="11"/>
  <c r="AH22" i="11"/>
  <c r="CL22" i="11" s="1"/>
  <c r="AH21" i="11"/>
  <c r="AH20" i="11"/>
  <c r="AH19" i="11"/>
  <c r="AH18" i="11"/>
  <c r="CL18" i="11" s="1"/>
  <c r="AH17" i="11"/>
  <c r="AH16" i="11"/>
  <c r="AH15" i="11"/>
  <c r="AH14" i="11"/>
  <c r="CL14" i="11" s="1"/>
  <c r="AH13" i="11"/>
  <c r="AH12" i="11"/>
  <c r="CL12" i="11" l="1"/>
  <c r="CL20" i="11"/>
  <c r="CL16" i="11"/>
  <c r="CL13" i="11"/>
  <c r="CL17" i="11"/>
  <c r="CL21" i="11"/>
  <c r="CL24" i="11"/>
  <c r="CL19" i="11"/>
  <c r="CL15" i="11"/>
  <c r="CL49" i="11"/>
  <c r="CL53" i="11"/>
  <c r="CL57" i="11"/>
  <c r="CL61" i="11"/>
  <c r="CL65" i="11"/>
  <c r="CL69" i="11"/>
  <c r="CL73" i="11"/>
  <c r="CL77" i="11"/>
  <c r="CL81" i="11"/>
  <c r="CL85" i="11"/>
  <c r="CL89" i="11"/>
  <c r="CL93" i="11"/>
  <c r="CL97" i="11"/>
  <c r="CL101" i="11"/>
  <c r="CL105" i="11"/>
  <c r="AJ114" i="11"/>
  <c r="AT114" i="11"/>
  <c r="AI114" i="11"/>
  <c r="AS114" i="11"/>
  <c r="AR109" i="11"/>
  <c r="AR23" i="11"/>
  <c r="AH23" i="11"/>
  <c r="AR46" i="11"/>
  <c r="AH109" i="11"/>
  <c r="AH46" i="11"/>
  <c r="CL23" i="11" l="1"/>
  <c r="AR114" i="11"/>
  <c r="AH114" i="11"/>
  <c r="Y109" i="11"/>
  <c r="X109" i="11"/>
  <c r="BF46" i="11"/>
  <c r="Y46" i="11"/>
  <c r="X46" i="11"/>
  <c r="CL46" i="11" l="1"/>
  <c r="Y114" i="11"/>
  <c r="X114" i="11"/>
  <c r="BY114" i="11"/>
  <c r="BF114" i="11"/>
  <c r="CF114" i="11"/>
  <c r="CL109" i="11" l="1"/>
  <c r="AC114" i="11"/>
  <c r="CL114" i="11" s="1"/>
</calcChain>
</file>

<file path=xl/sharedStrings.xml><?xml version="1.0" encoding="utf-8"?>
<sst xmlns="http://schemas.openxmlformats.org/spreadsheetml/2006/main" count="397" uniqueCount="317">
  <si>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</si>
  <si>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</si>
  <si>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</si>
  <si>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</si>
  <si>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</si>
  <si>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</si>
  <si>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</si>
  <si>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</si>
  <si>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04207100000</t>
  </si>
  <si>
    <t>04208100000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</si>
  <si>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</si>
  <si>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</si>
  <si>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</si>
  <si>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</si>
  <si>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</si>
  <si>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</si>
  <si>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</si>
  <si>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</si>
  <si>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</si>
  <si>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</si>
  <si>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</si>
  <si>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</si>
  <si>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</si>
  <si>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</si>
  <si>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</si>
  <si>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</si>
  <si>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</si>
  <si>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</si>
  <si>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</si>
  <si>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</si>
  <si>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</si>
  <si>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</si>
  <si>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</si>
  <si>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</si>
  <si>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</si>
  <si>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</si>
  <si>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субвенції</t>
  </si>
  <si>
    <t>04501000000</t>
  </si>
  <si>
    <t>04502000000</t>
  </si>
  <si>
    <t>04503000000</t>
  </si>
  <si>
    <t>04504000000</t>
  </si>
  <si>
    <t>04506000000</t>
  </si>
  <si>
    <t>04507000000</t>
  </si>
  <si>
    <t>04508000000</t>
  </si>
  <si>
    <t>04510000000</t>
  </si>
  <si>
    <t>04511000000</t>
  </si>
  <si>
    <t>04512000000</t>
  </si>
  <si>
    <t>04513000000</t>
  </si>
  <si>
    <t>04514000000</t>
  </si>
  <si>
    <t>04515000000</t>
  </si>
  <si>
    <t>04517000000</t>
  </si>
  <si>
    <t>04518000000</t>
  </si>
  <si>
    <t>04519000000</t>
  </si>
  <si>
    <t>04521000000</t>
  </si>
  <si>
    <t>04524000000</t>
  </si>
  <si>
    <t>04527000000</t>
  </si>
  <si>
    <t>04529000000</t>
  </si>
  <si>
    <t>04530000000</t>
  </si>
  <si>
    <t>04531000000</t>
  </si>
  <si>
    <t>04532000000</t>
  </si>
  <si>
    <t>04533000000</t>
  </si>
  <si>
    <t>04534000000</t>
  </si>
  <si>
    <t>04509000000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</si>
  <si>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</si>
  <si>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</si>
  <si>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</si>
  <si>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</si>
  <si>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</si>
  <si>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</si>
  <si>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</si>
  <si>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</si>
  <si>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</si>
  <si>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</si>
  <si>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</si>
  <si>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</si>
  <si>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</si>
  <si>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</si>
  <si>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04556000000</t>
  </si>
  <si>
    <t>04520000000</t>
  </si>
  <si>
    <t>04526000000</t>
  </si>
  <si>
    <t>04551000000</t>
  </si>
  <si>
    <t>04516000000</t>
  </si>
  <si>
    <t>04525000000</t>
  </si>
  <si>
    <t>04552000000</t>
  </si>
  <si>
    <t>04523000000</t>
  </si>
  <si>
    <t>04522000000</t>
  </si>
  <si>
    <t>04505000000</t>
  </si>
  <si>
    <t>04547000000</t>
  </si>
  <si>
    <t>04553000000</t>
  </si>
  <si>
    <t>04555000000</t>
  </si>
  <si>
    <t>дотація на :</t>
  </si>
  <si>
    <t>спеціального фонду на:</t>
  </si>
  <si>
    <t>загального фонду на:</t>
  </si>
  <si>
    <t>усього</t>
  </si>
  <si>
    <t xml:space="preserve"> охорону і раціональне використання земель</t>
  </si>
  <si>
    <t>природоохоронні заходи</t>
  </si>
  <si>
    <t>04557000000</t>
  </si>
  <si>
    <t>04558000000</t>
  </si>
  <si>
    <t>04559000000</t>
  </si>
  <si>
    <t xml:space="preserve"> фінансування переможців обласного конкурсу проектів і програм розвитку місцевого самоврядування </t>
  </si>
  <si>
    <t>Бюджет міста Вільногірська</t>
  </si>
  <si>
    <t>Бюджет міста Дніпра</t>
  </si>
  <si>
    <t>Бюджет міста Кам’янського</t>
  </si>
  <si>
    <t>Бюджет міста Жовтих Вод</t>
  </si>
  <si>
    <t>Бюджет міста Кривого Рога</t>
  </si>
  <si>
    <t>Бюджет міста Нікополя</t>
  </si>
  <si>
    <t>Бюджет міста Новомосковська</t>
  </si>
  <si>
    <t>Бюджет міста Павлограда</t>
  </si>
  <si>
    <t>Бюджет міста Першотравенська</t>
  </si>
  <si>
    <t>Бюджет міста Синельникового</t>
  </si>
  <si>
    <t>Бюджет міста Тернівки</t>
  </si>
  <si>
    <t>Районний бюджет Васильківського району</t>
  </si>
  <si>
    <t>Районний бюджет Верхньодніпровського району</t>
  </si>
  <si>
    <t>Районний бюджет Дніпровського району</t>
  </si>
  <si>
    <t>Районний бюджет Криворізького району</t>
  </si>
  <si>
    <t>Районний бюджет Криничанського району</t>
  </si>
  <si>
    <t>Районний бюджет Магдалинівського району</t>
  </si>
  <si>
    <t>Районний бюджет Межівського району</t>
  </si>
  <si>
    <t>Районний бюджет Нікопольського району</t>
  </si>
  <si>
    <t>Районний бюджет Новомосковського району</t>
  </si>
  <si>
    <t>Районний бюджет Павлоградського району</t>
  </si>
  <si>
    <t>Районний бюджет Петриківського району</t>
  </si>
  <si>
    <t>Районний бюджет Петропавлівського району</t>
  </si>
  <si>
    <t>Районний бюджет Покровського району</t>
  </si>
  <si>
    <t>Районний бюджет П’ятихатського району</t>
  </si>
  <si>
    <t>Районний бюджет Синельниківського району</t>
  </si>
  <si>
    <t>Районний бюджет Солонянського району</t>
  </si>
  <si>
    <t>Районний бюджет Софіївського району</t>
  </si>
  <si>
    <t>Районний бюджет Томаківського району</t>
  </si>
  <si>
    <t>Районний бюджет Царичанського району</t>
  </si>
  <si>
    <t>Районний бюджет Широківського району</t>
  </si>
  <si>
    <t>Районний бюджет Юр’ївського району</t>
  </si>
  <si>
    <t>Районний бюджет Апостолівського району</t>
  </si>
  <si>
    <t xml:space="preserve">Бюджет Апостолівської міської об’єднаної територіальної громади </t>
  </si>
  <si>
    <t xml:space="preserve">Бюджет Богданівської сільської об’єднаної територіальної громади </t>
  </si>
  <si>
    <t xml:space="preserve">Бюджет Вербківської сільської об’єднаної територіальної громади </t>
  </si>
  <si>
    <t xml:space="preserve">Бюджет Святовасилівської сільської об’єднаної територіальної громади </t>
  </si>
  <si>
    <t xml:space="preserve">Бюджет Вакулівської сільської об’єднаної територіальної громади </t>
  </si>
  <si>
    <t xml:space="preserve">Бюджет Зеленодольської міської об’єднаної територіальної громади </t>
  </si>
  <si>
    <t xml:space="preserve">Бюджет Грушівської сільської об’єднаної територіальної громади </t>
  </si>
  <si>
    <t xml:space="preserve">Бюджет Ляшківської сільської об’єднаної територіальної громади </t>
  </si>
  <si>
    <t xml:space="preserve">Бюджет Могилівської сільської об’єднаної територіальної громади </t>
  </si>
  <si>
    <t xml:space="preserve">Бюджет Нивотрудівської сільської об’єднаної територіальної громади </t>
  </si>
  <si>
    <t xml:space="preserve">Бюджет Новоолександрівської сільської об’єднаної територіальної громади </t>
  </si>
  <si>
    <t xml:space="preserve">Бюджет Новопокровської селищної об’єднаної територіальної громади </t>
  </si>
  <si>
    <t xml:space="preserve">Бюджет Солонянської селищної об’єднаної територіальної громади </t>
  </si>
  <si>
    <t xml:space="preserve">Бюджет Сурсько-Литовської сільської об’єднаної територіальної громади </t>
  </si>
  <si>
    <t xml:space="preserve">Бюджет Слобожанської селищної об’єднаної територіальної громади </t>
  </si>
  <si>
    <t xml:space="preserve">Бюджет Мирівської сільської об’єднаної територіальної громади </t>
  </si>
  <si>
    <t xml:space="preserve">Бюджет Аулівської селищної об’єднаної територіальної громади </t>
  </si>
  <si>
    <t xml:space="preserve">Бюджет Божедарівської селищної об’єднаної територіальної громади </t>
  </si>
  <si>
    <t xml:space="preserve">Бюджет Васильківської селищної об’єднаної територіальної громади </t>
  </si>
  <si>
    <t xml:space="preserve">Бюджет Вишнівської селищної об’єднаної територіальної громади </t>
  </si>
  <si>
    <t xml:space="preserve">Бюджет Криничанської селищної об’єднаної територіальної громади </t>
  </si>
  <si>
    <t xml:space="preserve">Бюджет Лихівської селищної об’єднаної територіальної громади </t>
  </si>
  <si>
    <t xml:space="preserve">Бюджет Покровської селищної об’єднаної територіальної громади </t>
  </si>
  <si>
    <t xml:space="preserve">Бюджет Роздорської селищної об’єднаної територіальної громади </t>
  </si>
  <si>
    <t xml:space="preserve">Бюджет Софіївської селищної об’єднаної територіальної громади </t>
  </si>
  <si>
    <t xml:space="preserve">Бюджет Томаківської селищної об’єднаної територіальної громади </t>
  </si>
  <si>
    <t xml:space="preserve">Бюджет Царичанської селищної об’єднаної територіальної громади </t>
  </si>
  <si>
    <t xml:space="preserve">Бюджет Великомихайлівської сільської об’єднаної територіальної громади </t>
  </si>
  <si>
    <t xml:space="preserve">Бюджет Гречаноподівської сільської об’єднаної територіальної громади </t>
  </si>
  <si>
    <t xml:space="preserve">Бюджет Маломихайлівської сільської об’єднаної територіальної громади </t>
  </si>
  <si>
    <t xml:space="preserve">Бюджет Новолатівської сільської об’єднаної територіальної громади </t>
  </si>
  <si>
    <t xml:space="preserve">Бюджет Новопавлівської сільської об’єднаної територіальної громади </t>
  </si>
  <si>
    <t xml:space="preserve">Бюджет Чкаловської сільської об’єднаної територіальної громади </t>
  </si>
  <si>
    <t>Бюджет Миколаївської сільської об’єднаної територіальної громади (Васильківський район)</t>
  </si>
  <si>
    <t xml:space="preserve">Бюджет Верхньодніпровської міської об’єднаної територіальної громади </t>
  </si>
  <si>
    <t xml:space="preserve">Бюджет Межівської селищної об’єднаної територіальної громади </t>
  </si>
  <si>
    <t xml:space="preserve">Бюджет Лошкарівської сільської об’єднаної територіальної громади </t>
  </si>
  <si>
    <t>Бюджет Першотравневської сільської об’єднаної територіальної громади</t>
  </si>
  <si>
    <t xml:space="preserve">Бюджет Червоногригорівської селищної об’єднаної територіальної громади </t>
  </si>
  <si>
    <t xml:space="preserve">Бюджет Межиріцької сільської об’єднаної територіальної громади </t>
  </si>
  <si>
    <t xml:space="preserve">Бюджет Троїцької сільської об’єднаної територіальної громади </t>
  </si>
  <si>
    <t xml:space="preserve">Бюджет Петриківської селищної об’єднаної територіальної громади </t>
  </si>
  <si>
    <t>Бюджет Миколаївської сільської об’єднаної територіальної громади (Петропавлівський район)</t>
  </si>
  <si>
    <t xml:space="preserve">Бюджет Зайцівської сільської об’єднаної територіальної громади </t>
  </si>
  <si>
    <t xml:space="preserve">Бюджет Раївської сільської об’єднаної територіальної громади </t>
  </si>
  <si>
    <t xml:space="preserve">Бюджет Іларіонівської селищної об’єднаної територіальної громади </t>
  </si>
  <si>
    <t xml:space="preserve">Бюджет Славгородської селищної об’єднаної територіальної громади </t>
  </si>
  <si>
    <t xml:space="preserve">Бюджет Китайгородської сільської об’єднаної територіальної громади </t>
  </si>
  <si>
    <t xml:space="preserve">Бюджет Карпівської сільської об’єднаної територіальної громади </t>
  </si>
  <si>
    <t xml:space="preserve">Бюджет Широківської селищної об’єднаної територіальної громади </t>
  </si>
  <si>
    <t xml:space="preserve">Бюджет Юр’ївської селищної об’єднаної територіальної громади </t>
  </si>
  <si>
    <t xml:space="preserve">Бюджет Любимівської сільської об’єднаної територіальної громади </t>
  </si>
  <si>
    <t xml:space="preserve">Бюджет Саксаганської сільської об’єднаної територіальної громади </t>
  </si>
  <si>
    <t xml:space="preserve">Бюджет Девладівської сільської об’єднаної територіальної громади </t>
  </si>
  <si>
    <t>Бюджет Личківської сільської об’єднаної територіальної громади</t>
  </si>
  <si>
    <t>Бюджет Перещепинської міської об’єднаної територіальної громади</t>
  </si>
  <si>
    <t>Бюджет Піщанської сільської об’єднаної територіальної громади</t>
  </si>
  <si>
    <t>Найменування бюджету - одержувача/надавача                                                                                                                                                                міжбюджетного трансферту</t>
  </si>
  <si>
    <t>Разом по бюджетах міст</t>
  </si>
  <si>
    <t>Разом по бюджетах об’єднаних територіальних громад</t>
  </si>
  <si>
    <t>Разом по районних бюджетах</t>
  </si>
  <si>
    <t>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</si>
  <si>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</si>
  <si>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Реверсна дотація</t>
  </si>
  <si>
    <t xml:space="preserve">Бюджет Варварівської сільської об’єднаної територіальної громади </t>
  </si>
  <si>
    <t xml:space="preserve">Бюджет Української сільської об’єднаної територіальної громади </t>
  </si>
  <si>
    <t xml:space="preserve"> субвенції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</si>
  <si>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за рахунок відповідної субвенції з державного бюджету 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</si>
  <si>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</si>
  <si>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</t>
  </si>
  <si>
    <t>Бюджет Чумаківської сільської об’єднаної територіальної громади</t>
  </si>
  <si>
    <t>04554000000</t>
  </si>
  <si>
    <t>04560000000</t>
  </si>
  <si>
    <t>04528000000</t>
  </si>
  <si>
    <t>04536000000</t>
  </si>
  <si>
    <t>Міжбюджетні трансферти  на 2020 рік</t>
  </si>
  <si>
    <t>Код бюджету</t>
  </si>
  <si>
    <t>Трансферти з інших місцевих бюджетів</t>
  </si>
  <si>
    <t>Трансферти іншим бюджетам</t>
  </si>
  <si>
    <t>КТПКВ 9110</t>
  </si>
  <si>
    <t>КТПКВ 9130</t>
  </si>
  <si>
    <t>ККД 41053900</t>
  </si>
  <si>
    <t>(код бюджету)</t>
  </si>
  <si>
    <t>УСЬОГО</t>
  </si>
  <si>
    <t>КТПКВ 9310</t>
  </si>
  <si>
    <t>КТПКВ 9330</t>
  </si>
  <si>
    <t>КТПКВ 9410</t>
  </si>
  <si>
    <t>КТПКВ 9770</t>
  </si>
  <si>
    <t>04561000000</t>
  </si>
  <si>
    <t>Бюджет Марганецької міської об’єднаної територіальної громади</t>
  </si>
  <si>
    <t>04562000000</t>
  </si>
  <si>
    <t>Бюджет Покровської міської об’єднаної територіальної громади</t>
  </si>
  <si>
    <t>з них</t>
  </si>
  <si>
    <t>на інклюзивно-ресурсні центри</t>
  </si>
  <si>
    <t>на приватні школи</t>
  </si>
  <si>
    <t>КТПКВ  9800</t>
  </si>
  <si>
    <t>Додаток 5</t>
  </si>
  <si>
    <t xml:space="preserve"> виконання доручень виборців депутатами обласної ради у 2020 році</t>
  </si>
  <si>
    <t>А. МАРЧЕНКО</t>
  </si>
  <si>
    <t>ККД 41053700</t>
  </si>
  <si>
    <t>соціально-економічний розвиток</t>
  </si>
  <si>
    <t>фінансування переможців обласного конкурсу мікропроектів з енергоефективності та енергозбереження серед органів самоорганізації населення та ОСББ</t>
  </si>
  <si>
    <t>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Швейцарсько-Український проект „Підтримка децентралізації в Україні” DESPRO</t>
  </si>
  <si>
    <t xml:space="preserve">проведення виборів депутатів місцевих рад та сільських, селищних, міських голів за рахунок відповідної субвенції з державного бюджету </t>
  </si>
  <si>
    <t>05100000000</t>
  </si>
  <si>
    <t>Обласний бюджет Донецької області</t>
  </si>
  <si>
    <t>КФКД 41051500</t>
  </si>
  <si>
    <t xml:space="preserve"> здійснення переданих видатків у сфері охорони здоров’я за рахунок коштів медичної субвенції</t>
  </si>
  <si>
    <t>КФКД 41053300</t>
  </si>
  <si>
    <t>11100000000</t>
  </si>
  <si>
    <t>Обласний бюджет Кіровоградської області</t>
  </si>
  <si>
    <t>ККД 41053500</t>
  </si>
  <si>
    <t xml:space="preserve">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</si>
  <si>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 забезпечення офтальмологічної допомоги населенню міста</t>
  </si>
  <si>
    <t>утримання осіб з інвалідністю міста Дніпра, які мають розлади спектру аутизму</t>
  </si>
  <si>
    <t>КТПКВ 9320</t>
  </si>
  <si>
    <t>на ремонт та придбання обладнання для їдалень (харчоблоків) закладів середньої освіти (видатки розвитку)</t>
  </si>
  <si>
    <t>за рахунок залишку коштів освітньої субвенції, що утворився на початок бюджетного періоду</t>
  </si>
  <si>
    <t>пільгове медичне  обслуговування осіб, які постраждали внаслідок Чорнобильської катастрофи</t>
  </si>
  <si>
    <t>соціально-економічний розвиток окремих територій</t>
  </si>
  <si>
    <t>КТПКВ 9270</t>
  </si>
  <si>
    <t>КТПКВ 9620</t>
  </si>
  <si>
    <t>КТПКВ 9350</t>
  </si>
  <si>
    <t>КТПКВ 9360</t>
  </si>
  <si>
    <t>на заохочення та страхування працівників галузі "Охорона здоров'я"</t>
  </si>
  <si>
    <t>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</si>
  <si>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КТПКВ 9370</t>
  </si>
  <si>
    <t>на підвищення кваліфікації педагогічних працівників (видатки споживання)</t>
  </si>
  <si>
    <t>реалізацію заходів регіональної Програми забезпечення громадського порядку та громадської безпеки на території Дніпропетровської області на період до 2020 року</t>
  </si>
  <si>
    <t>КТПКВ 9150</t>
  </si>
  <si>
    <t>КТПКВ 9430</t>
  </si>
  <si>
    <t>інші  дотаціі з місцевого бюджету</t>
  </si>
  <si>
    <t xml:space="preserve"> співфінансування інвестиційних проектів</t>
  </si>
  <si>
    <t xml:space="preserve">на оплату праці з нарахуваннями педагогічних працівників </t>
  </si>
  <si>
    <t>на придбання обладнання для  кабінетів української мови в закладах загальної середньої освіти з навчанням мовами національних меншин
(видатки розвитку)</t>
  </si>
  <si>
    <t>на придбання обладнання для оснащення ресурсних кімнат
(видатки розвитку)</t>
  </si>
  <si>
    <t>на забезпечення належних санітарно-гігієнічних умов у приміщеннях закладів загальної середньої освіти
(видатки розвитку)</t>
  </si>
  <si>
    <t>на закупівлю україномовних дидактичних матеріалів для закладів загальної середньої освіти з навчанням мовами національних меншин
(видатки споживання)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</si>
  <si>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</si>
  <si>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</si>
  <si>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 xml:space="preserve"> заходи з підвищення кваліфікації, перепідготовку кадрів закладами післядипломної освіти</t>
  </si>
  <si>
    <t xml:space="preserve">на підготовку і проведення повторного голосування з перших виборів </t>
  </si>
  <si>
    <t>на лікування хворих на цукровий діабет інсуліном та нецукровий діабет десмопресином</t>
  </si>
  <si>
    <t>на цільові видатки на лікування хворих на цукровий та нецукровий діабет</t>
  </si>
  <si>
    <t>на видатки споживання</t>
  </si>
  <si>
    <t>на видатки розвитку</t>
  </si>
  <si>
    <t>на підтримку окремих закладів охорони здоров’я, які надають вторинну (спеціалізовану) медичну допомогу за програмою державних гарантій медичного обслуговування населення</t>
  </si>
  <si>
    <t>КТПКВ 9730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</si>
  <si>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</si>
  <si>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співфінансування на придбання шкільних автобусів</t>
  </si>
  <si>
    <t>КТПКВ 9380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</si>
  <si>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</si>
  <si>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до рішення обласної ради </t>
  </si>
  <si>
    <t>КТПКВ 9241</t>
  </si>
  <si>
    <t>КТПКВ 9243</t>
  </si>
  <si>
    <t>КТПКВ 9242</t>
  </si>
  <si>
    <t>КФКД 41052300</t>
  </si>
  <si>
    <t>здійснення заходів щодо соціально-економічного розвитку окремих територій за рахунок відповідної субвенції з державного бюджету</t>
  </si>
  <si>
    <t>КТПКВ 9510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</si>
  <si>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</si>
  <si>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капітальні видатки та облаштування об'єктів соціально-культурної сфери</t>
  </si>
  <si>
    <t>грн</t>
  </si>
  <si>
    <t>утримання об’єктів спільного користування чи ліквідацію негативних наслідків діяльності об’єктів спільного користування (комунального закладу „Міжобласний центр медичної генетики і пренатальної діагностики імені П.М. Веропотвеляна” Дніпрпетровської обласної ради)</t>
  </si>
  <si>
    <t>відшкодування витрат за житлово-комунальні послуги та за тимчасове проживання внутрішньо переміщених осіб (вимушених переселенців)
у м. Дніпрі</t>
  </si>
  <si>
    <t>виконання лабораторних досліджень комунальним закладом „Дніпропетровське обласне бюро судово-медичної експертизи” Дніпровської обласної ради”</t>
  </si>
  <si>
    <t xml:space="preserve">Комунальному підприємству „Обласний центр екстреної медичної допомоги та медицини катостроф” Дніпропетровської обласної ради для удосконалення надання екстреної медичної допомоги </t>
  </si>
  <si>
    <t xml:space="preserve"> придбання предметів, матеріалів та обладнання для ДПТНЗ „Марганецький професійний ліцей”</t>
  </si>
  <si>
    <t xml:space="preserve"> виконання Програми виконання доручень виборців депутатами Дніпровської міської ради VII скликання на 2016 – 2020 роки</t>
  </si>
  <si>
    <t>капітальний ремонт об’єктів благоустрою</t>
  </si>
  <si>
    <t>придбання предметів, матеріалів та обладнання для ДПТНЗ „Марганецький професійний ліцей”</t>
  </si>
  <si>
    <t xml:space="preserve">на виплату грошової компенсації за належні для отримання жилі приміщення для сімей осіб, визначених абзацами 5 – 8 пункту 1 статті 10 Закону України „Про статус ветеранів війни, гарантії їх соціального захисту”,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 </t>
  </si>
  <si>
    <t>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20 частини першої статті 6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</si>
  <si>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I –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</si>
  <si>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забезпечення якісної, сучасної та доступної загальної середньої освіти „Нова українська школа”</t>
  </si>
  <si>
    <t xml:space="preserve"> реалізацію програми „Спроможна школа для кращих результатів”  за рахунок відповідної субвенції з державного бюджету</t>
  </si>
  <si>
    <t>здійснення переданих видатків у сфері охорони здоров’я за рахунок  коштів медичної субвенції</t>
  </si>
  <si>
    <t>здійснення підтримки окремих закладів та заходів у системі охорони здоров’я за рахунок відповідної субвенції з державного бюджету</t>
  </si>
  <si>
    <t xml:space="preserve"> виконання заходів регіональної цільової соціальної програми „Освіта Дніпропетровщини до 2021 року”</t>
  </si>
  <si>
    <t>реалізацію заходів програми впровадження державної політики органами виконавчої влади у Дніпропетровській області на 2016 – 2020 роки</t>
  </si>
  <si>
    <t>реалізацію заходів Регіональної цільової соціальної програми захисту населення і території від надзвичайних ситуацій техногенного та природного характеру, забезпечення пожежної безпеки Дніпропетровській області на 2016 – 2020 роки</t>
  </si>
  <si>
    <t>заохочення та страхування працівників галузі „Охорона здоров’я”</t>
  </si>
  <si>
    <t xml:space="preserve"> фінансування переможців обласного конкурсу проєктів і програм розвитку місцевого самоврядування ‒ відродження історико-культурної спадщини Дніпропетровщини</t>
  </si>
  <si>
    <t>субвенція з обласного бюджету до місцевих бюджетів на співфінансування органів місцевого самоврядування області - переможців конкурсів, учасників спільних пректів  (програм), державних, міжнародних, громадських організацій (фондів), спрямованих на розвиток місцевого самоврядування - учасників пілотного прокту із благоустрою території населених пунктів області „Територія майбутнього”</t>
  </si>
  <si>
    <t>Керуючий справами
виконавчого апарату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</si>
</sst>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65"/>
      <color theme="1"/>
      <name val="Times New Roman"/>
      <family val="1"/>
      <charset val="204"/>
    </font>
    <font>
      <sz val="55"/>
      <color theme="1"/>
      <name val="Times New Roman"/>
      <family val="1"/>
      <charset val="204"/>
    </font>
    <font>
      <sz val="54"/>
      <color theme="1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sz val="56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52"/>
      <color theme="1"/>
      <name val="Times New Roman"/>
      <family val="1"/>
      <charset val="204"/>
    </font>
    <font>
      <b/>
      <sz val="52"/>
      <color theme="1"/>
      <name val="Times New Roman"/>
      <family val="1"/>
      <charset val="204"/>
    </font>
    <font>
      <sz val="50"/>
      <color theme="1"/>
      <name val="Arial Cyr"/>
      <family val="2"/>
      <charset val="204"/>
    </font>
    <font>
      <b/>
      <sz val="80"/>
      <color theme="1"/>
      <name val="Times New Roman"/>
      <family val="1"/>
      <charset val="204"/>
    </font>
    <font>
      <b/>
      <sz val="54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sz val="57"/>
      <color theme="1"/>
      <name val="Times New Roman"/>
      <family val="1"/>
      <charset val="204"/>
    </font>
    <font>
      <sz val="42"/>
      <color theme="1"/>
      <name val="Arial Cyr"/>
      <family val="2"/>
      <charset val="204"/>
    </font>
    <font>
      <i/>
      <sz val="57"/>
      <color theme="1"/>
      <name val="Times New Roman"/>
      <family val="1"/>
      <charset val="204"/>
    </font>
    <font>
      <sz val="36"/>
      <color theme="1"/>
      <name val="Arial Cyr"/>
      <family val="2"/>
      <charset val="204"/>
    </font>
    <font>
      <sz val="11"/>
      <color theme="1"/>
      <name val="Arial Cyr"/>
      <family val="2"/>
      <charset val="204"/>
    </font>
    <font>
      <sz val="40"/>
      <color theme="1"/>
      <name val="Arial Cyr"/>
      <family val="2"/>
      <charset val="204"/>
    </font>
    <font>
      <i/>
      <sz val="56"/>
      <color theme="1"/>
      <name val="Times New Roman"/>
      <family val="1"/>
      <charset val="204"/>
    </font>
    <font>
      <sz val="5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65"/>
      <color theme="1"/>
      <name val="Times New Roman Cyr"/>
      <family val="1"/>
      <charset val="204"/>
    </font>
    <font>
      <b/>
      <sz val="65"/>
      <color theme="1"/>
      <name val="Times New Roman"/>
      <family val="1"/>
      <charset val="204"/>
    </font>
    <font>
      <sz val="65"/>
      <color theme="1"/>
      <name val="Bookman Old Style"/>
      <family val="1"/>
      <charset val="204"/>
    </font>
    <font>
      <sz val="65"/>
      <color theme="1"/>
      <name val="Arial Cyr"/>
      <family val="2"/>
      <charset val="204"/>
    </font>
    <font>
      <sz val="40"/>
      <color theme="1"/>
      <name val="Bookman Old Style"/>
      <family val="1"/>
      <charset val="204"/>
    </font>
    <font>
      <sz val="80"/>
      <color theme="1"/>
      <name val="Arial Cyr"/>
      <family val="2"/>
      <charset val="204"/>
    </font>
    <font>
      <sz val="60"/>
      <color theme="1"/>
      <name val="Arial Cyr"/>
      <family val="2"/>
      <charset val="204"/>
    </font>
    <font>
      <sz val="58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6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4" fontId="2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NumberFormat="1" applyFont="1" applyFill="1" applyAlignment="1" applyProtection="1">
      <alignment vertical="center" wrapText="1"/>
    </xf>
    <xf numFmtId="4" fontId="9" fillId="0" borderId="0" xfId="0" applyNumberFormat="1" applyFont="1" applyFill="1" applyAlignment="1"/>
    <xf numFmtId="0" fontId="10" fillId="0" borderId="0" xfId="0" applyFont="1" applyFill="1"/>
    <xf numFmtId="4" fontId="2" fillId="0" borderId="0" xfId="0" applyNumberFormat="1" applyFont="1" applyFill="1" applyBorder="1" applyAlignment="1"/>
    <xf numFmtId="49" fontId="2" fillId="0" borderId="5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  <xf numFmtId="4" fontId="12" fillId="0" borderId="0" xfId="0" applyNumberFormat="1" applyFont="1" applyFill="1" applyBorder="1" applyAlignment="1"/>
    <xf numFmtId="0" fontId="7" fillId="0" borderId="0" xfId="0" applyFont="1" applyFill="1" applyBorder="1"/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/>
    <xf numFmtId="0" fontId="14" fillId="0" borderId="0" xfId="0" applyFont="1" applyFill="1" applyAlignment="1">
      <alignment wrapText="1"/>
    </xf>
    <xf numFmtId="0" fontId="17" fillId="0" borderId="1" xfId="0" applyFont="1" applyFill="1" applyBorder="1"/>
    <xf numFmtId="0" fontId="19" fillId="0" borderId="1" xfId="0" applyFont="1" applyFill="1" applyBorder="1"/>
    <xf numFmtId="0" fontId="20" fillId="0" borderId="1" xfId="0" applyFont="1" applyFill="1" applyBorder="1"/>
    <xf numFmtId="0" fontId="21" fillId="0" borderId="1" xfId="0" applyFont="1" applyFill="1" applyBorder="1"/>
    <xf numFmtId="0" fontId="21" fillId="0" borderId="0" xfId="0" applyFont="1" applyFill="1"/>
    <xf numFmtId="4" fontId="7" fillId="0" borderId="2" xfId="0" applyNumberFormat="1" applyFont="1" applyFill="1" applyBorder="1"/>
    <xf numFmtId="4" fontId="7" fillId="0" borderId="0" xfId="0" applyNumberFormat="1" applyFont="1" applyFill="1"/>
    <xf numFmtId="4" fontId="24" fillId="0" borderId="2" xfId="0" applyNumberFormat="1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4" fontId="26" fillId="0" borderId="2" xfId="0" applyNumberFormat="1" applyFont="1" applyFill="1" applyBorder="1" applyAlignment="1">
      <alignment wrapText="1"/>
    </xf>
    <xf numFmtId="4" fontId="27" fillId="0" borderId="2" xfId="0" applyNumberFormat="1" applyFont="1" applyFill="1" applyBorder="1"/>
    <xf numFmtId="4" fontId="28" fillId="0" borderId="2" xfId="0" applyNumberFormat="1" applyFont="1" applyFill="1" applyBorder="1"/>
    <xf numFmtId="0" fontId="7" fillId="0" borderId="1" xfId="0" applyFont="1" applyFill="1" applyBorder="1"/>
    <xf numFmtId="4" fontId="21" fillId="0" borderId="0" xfId="0" applyNumberFormat="1" applyFont="1" applyFill="1"/>
    <xf numFmtId="0" fontId="31" fillId="0" borderId="0" xfId="0" applyFont="1" applyFill="1"/>
    <xf numFmtId="0" fontId="7" fillId="0" borderId="2" xfId="0" applyFont="1" applyFill="1" applyBorder="1"/>
    <xf numFmtId="0" fontId="17" fillId="0" borderId="6" xfId="0" applyFont="1" applyFill="1" applyBorder="1"/>
    <xf numFmtId="0" fontId="19" fillId="0" borderId="6" xfId="0" applyFont="1" applyFill="1" applyBorder="1"/>
    <xf numFmtId="0" fontId="20" fillId="0" borderId="6" xfId="0" applyFont="1" applyFill="1" applyBorder="1"/>
    <xf numFmtId="0" fontId="21" fillId="0" borderId="6" xfId="0" applyFont="1" applyFill="1" applyBorder="1"/>
    <xf numFmtId="0" fontId="7" fillId="0" borderId="6" xfId="0" applyFont="1" applyFill="1" applyBorder="1"/>
    <xf numFmtId="0" fontId="5" fillId="0" borderId="6" xfId="0" applyFont="1" applyFill="1" applyBorder="1"/>
    <xf numFmtId="2" fontId="22" fillId="0" borderId="2" xfId="0" applyNumberFormat="1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3" fontId="32" fillId="0" borderId="2" xfId="5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vertical="center"/>
    </xf>
    <xf numFmtId="0" fontId="21" fillId="0" borderId="9" xfId="0" applyFont="1" applyFill="1" applyBorder="1"/>
    <xf numFmtId="3" fontId="21" fillId="0" borderId="9" xfId="0" applyNumberFormat="1" applyFont="1" applyFill="1" applyBorder="1"/>
    <xf numFmtId="0" fontId="29" fillId="0" borderId="9" xfId="0" applyFont="1" applyFill="1" applyBorder="1"/>
    <xf numFmtId="0" fontId="11" fillId="0" borderId="9" xfId="0" applyFont="1" applyFill="1" applyBorder="1"/>
    <xf numFmtId="0" fontId="30" fillId="0" borderId="9" xfId="0" applyFont="1" applyFill="1" applyBorder="1"/>
    <xf numFmtId="3" fontId="11" fillId="0" borderId="9" xfId="0" applyNumberFormat="1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/>
    </xf>
    <xf numFmtId="4" fontId="34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0" fontId="29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indent="1"/>
    </xf>
    <xf numFmtId="4" fontId="2" fillId="0" borderId="8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left"/>
    </xf>
    <xf numFmtId="3" fontId="11" fillId="0" borderId="9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Normal_Доходи" xfId="1"/>
    <cellStyle name="Обычный" xfId="0" builtinId="0"/>
    <cellStyle name="Обычный 2" xfId="2"/>
    <cellStyle name="Обычный 4" xfId="3"/>
    <cellStyle name="Обычный 5" xfId="4"/>
    <cellStyle name="Обычный_+Додаток 5.xlsx інсуліни оновл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15"/>
  <sheetViews>
    <sheetView showZeros="0" tabSelected="1" view="pageBreakPreview" zoomScale="10" zoomScaleNormal="25" zoomScaleSheetLayoutView="10" workbookViewId="0">
      <pane xSplit="3" ySplit="11" topLeftCell="CA60" activePane="bottomRight" state="frozen"/>
      <selection pane="topRight" activeCell="D1" sqref="D1"/>
      <selection pane="bottomLeft" activeCell="A14" sqref="A14"/>
      <selection pane="bottomRight" activeCell="B115" sqref="B115:C115"/>
    </sheetView>
  </sheetViews>
  <sheetFormatPr defaultColWidth="9.140625" defaultRowHeight="12.75" x14ac:dyDescent="0.2"/>
  <cols>
    <col min="1" max="1" width="75.42578125" style="5" customWidth="1"/>
    <col min="2" max="2" width="256" style="5" customWidth="1"/>
    <col min="3" max="3" width="90.5703125" style="5" customWidth="1"/>
    <col min="4" max="4" width="103.85546875" style="5" customWidth="1"/>
    <col min="5" max="5" width="108.140625" style="5" customWidth="1"/>
    <col min="6" max="6" width="245.7109375" style="5" customWidth="1"/>
    <col min="7" max="7" width="117.42578125" style="5" customWidth="1"/>
    <col min="8" max="8" width="122.42578125" style="5" customWidth="1"/>
    <col min="9" max="9" width="120.85546875" style="5" customWidth="1"/>
    <col min="10" max="10" width="163.42578125" style="5" customWidth="1"/>
    <col min="11" max="12" width="172.42578125" style="5" customWidth="1"/>
    <col min="13" max="13" width="216.28515625" style="5" customWidth="1"/>
    <col min="14" max="14" width="172.42578125" style="5" customWidth="1"/>
    <col min="15" max="15" width="100.28515625" style="5" customWidth="1"/>
    <col min="16" max="17" width="106.85546875" style="5" customWidth="1"/>
    <col min="18" max="19" width="95.7109375" style="5" customWidth="1"/>
    <col min="20" max="20" width="98" style="5" customWidth="1"/>
    <col min="21" max="21" width="110.28515625" style="5" customWidth="1"/>
    <col min="22" max="22" width="133.140625" style="5" customWidth="1"/>
    <col min="23" max="23" width="93.5703125" style="5" customWidth="1"/>
    <col min="24" max="24" width="89.5703125" style="5" customWidth="1"/>
    <col min="25" max="25" width="153.42578125" style="5" customWidth="1"/>
    <col min="26" max="26" width="255.140625" style="5" customWidth="1"/>
    <col min="27" max="27" width="215.7109375" style="5" customWidth="1"/>
    <col min="28" max="28" width="255.42578125" style="5" customWidth="1"/>
    <col min="29" max="29" width="186" style="14" customWidth="1"/>
    <col min="30" max="30" width="252.7109375" style="14" customWidth="1"/>
    <col min="31" max="31" width="114.7109375" style="14" customWidth="1"/>
    <col min="32" max="32" width="255.28515625" style="5" customWidth="1"/>
    <col min="33" max="33" width="145.7109375" style="5" customWidth="1"/>
    <col min="34" max="34" width="116.28515625" style="5" customWidth="1"/>
    <col min="35" max="35" width="95.5703125" style="5" customWidth="1"/>
    <col min="36" max="37" width="79.28515625" style="5" customWidth="1"/>
    <col min="38" max="38" width="120" style="5" customWidth="1"/>
    <col min="39" max="39" width="200.85546875" style="5" customWidth="1"/>
    <col min="40" max="40" width="146.140625" style="5" customWidth="1"/>
    <col min="41" max="41" width="98.28515625" style="5" customWidth="1"/>
    <col min="42" max="42" width="208.140625" style="5" customWidth="1"/>
    <col min="43" max="43" width="138.7109375" style="5" customWidth="1"/>
    <col min="44" max="44" width="100.7109375" style="5" customWidth="1"/>
    <col min="45" max="45" width="85.42578125" style="5" customWidth="1"/>
    <col min="46" max="46" width="81.7109375" style="5" customWidth="1"/>
    <col min="47" max="47" width="94.28515625" style="5" customWidth="1"/>
    <col min="48" max="48" width="131.42578125" style="5" customWidth="1"/>
    <col min="49" max="49" width="154.5703125" style="5" customWidth="1"/>
    <col min="50" max="50" width="202.42578125" style="5" customWidth="1"/>
    <col min="51" max="51" width="108.85546875" style="5" customWidth="1"/>
    <col min="52" max="53" width="120.85546875" style="5" customWidth="1"/>
    <col min="54" max="54" width="148.7109375" style="5" customWidth="1"/>
    <col min="55" max="55" width="170.85546875" style="5" customWidth="1"/>
    <col min="56" max="56" width="82" style="5" customWidth="1"/>
    <col min="57" max="57" width="79.7109375" style="5" customWidth="1"/>
    <col min="58" max="58" width="104" style="5" customWidth="1"/>
    <col min="59" max="59" width="98" style="5" customWidth="1"/>
    <col min="60" max="60" width="118.42578125" style="5" customWidth="1"/>
    <col min="61" max="61" width="110.28515625" style="5" customWidth="1"/>
    <col min="62" max="62" width="189.7109375" style="5" customWidth="1"/>
    <col min="63" max="63" width="121.28515625" style="5" customWidth="1"/>
    <col min="64" max="64" width="105.85546875" style="5" customWidth="1"/>
    <col min="65" max="65" width="80" style="5" customWidth="1"/>
    <col min="66" max="66" width="96.140625" style="5" customWidth="1"/>
    <col min="67" max="67" width="136.5703125" style="5" customWidth="1"/>
    <col min="68" max="68" width="112.85546875" style="5" customWidth="1"/>
    <col min="69" max="69" width="86.28515625" style="5" customWidth="1"/>
    <col min="70" max="70" width="106.42578125" style="5" customWidth="1"/>
    <col min="71" max="71" width="87.42578125" style="5" customWidth="1"/>
    <col min="72" max="72" width="122.42578125" style="5" customWidth="1"/>
    <col min="73" max="73" width="101.140625" style="5" customWidth="1"/>
    <col min="74" max="74" width="100" style="5" customWidth="1"/>
    <col min="75" max="75" width="186.5703125" style="5" customWidth="1"/>
    <col min="76" max="76" width="128.85546875" style="5" customWidth="1"/>
    <col min="77" max="77" width="107" style="5" customWidth="1"/>
    <col min="78" max="78" width="98.140625" style="5" customWidth="1"/>
    <col min="79" max="79" width="94.7109375" style="5" customWidth="1"/>
    <col min="80" max="80" width="100.28515625" style="5" customWidth="1"/>
    <col min="81" max="82" width="145.7109375" style="5" customWidth="1"/>
    <col min="83" max="83" width="246.5703125" style="5" customWidth="1"/>
    <col min="84" max="84" width="97.5703125" style="5" customWidth="1"/>
    <col min="85" max="85" width="83.28515625" style="5" customWidth="1"/>
    <col min="86" max="86" width="82" style="5" customWidth="1"/>
    <col min="87" max="87" width="90.42578125" style="5" customWidth="1"/>
    <col min="88" max="88" width="115.85546875" style="5" customWidth="1"/>
    <col min="89" max="89" width="222.7109375" style="5" customWidth="1"/>
    <col min="90" max="90" width="255.28515625" style="5" customWidth="1"/>
    <col min="91" max="91" width="27.28515625" style="5" customWidth="1"/>
    <col min="92" max="92" width="60" style="5" customWidth="1"/>
    <col min="93" max="93" width="99.28515625" style="5" customWidth="1"/>
    <col min="94" max="16384" width="9.140625" style="5"/>
  </cols>
  <sheetData>
    <row r="1" spans="1:91" ht="83.25" x14ac:dyDescent="1.1499999999999999">
      <c r="A1" s="4"/>
      <c r="H1" s="103" t="s">
        <v>229</v>
      </c>
      <c r="I1" s="103"/>
      <c r="Z1" s="6"/>
      <c r="AF1" s="14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</row>
    <row r="2" spans="1:91" ht="93.75" customHeight="1" x14ac:dyDescent="1.1499999999999999">
      <c r="A2" s="4"/>
      <c r="H2" s="103" t="s">
        <v>285</v>
      </c>
      <c r="I2" s="103"/>
      <c r="AF2" s="14"/>
      <c r="AI2" s="9"/>
      <c r="AJ2" s="9"/>
      <c r="AK2" s="9"/>
      <c r="AL2" s="9"/>
      <c r="AM2" s="9"/>
      <c r="AN2" s="9"/>
      <c r="AO2" s="9"/>
      <c r="AP2" s="9"/>
      <c r="AQ2" s="9"/>
      <c r="BF2" s="9"/>
      <c r="BR2" s="9"/>
      <c r="BS2" s="9"/>
      <c r="BT2" s="9"/>
      <c r="BU2" s="9"/>
      <c r="BX2" s="9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</row>
    <row r="3" spans="1:91" ht="83.25" customHeight="1" x14ac:dyDescent="1.3">
      <c r="A3" s="4"/>
      <c r="B3" s="4"/>
      <c r="C3" s="4"/>
      <c r="D3" s="10" t="s">
        <v>0</v>
      </c>
      <c r="E3" s="50"/>
      <c r="F3" s="4"/>
      <c r="G3" s="4"/>
      <c r="H3" s="4"/>
      <c r="K3" s="11"/>
      <c r="L3" s="11"/>
      <c r="M3" s="11"/>
      <c r="N3" s="11"/>
      <c r="R3" s="11"/>
      <c r="S3" s="11"/>
      <c r="T3" s="11"/>
      <c r="U3" s="11"/>
      <c r="V3" s="11"/>
      <c r="W3" s="11"/>
      <c r="X3" s="11"/>
      <c r="AF3" s="14"/>
      <c r="AI3" s="9"/>
      <c r="AJ3" s="9"/>
      <c r="AK3" s="9"/>
      <c r="AL3" s="9"/>
      <c r="AM3" s="9"/>
      <c r="AN3" s="9"/>
      <c r="AO3" s="9"/>
      <c r="AP3" s="9"/>
      <c r="AQ3" s="9"/>
      <c r="BF3" s="9"/>
      <c r="BR3" s="9"/>
      <c r="BS3" s="9"/>
      <c r="BT3" s="9"/>
      <c r="BU3" s="9"/>
      <c r="BX3" s="9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</row>
    <row r="4" spans="1:91" ht="101.25" x14ac:dyDescent="1.3">
      <c r="A4" s="4"/>
      <c r="B4" s="4"/>
      <c r="C4" s="4"/>
      <c r="D4" s="12" t="s">
        <v>215</v>
      </c>
      <c r="E4" s="12"/>
      <c r="F4" s="101" t="s">
        <v>208</v>
      </c>
      <c r="G4" s="101"/>
      <c r="H4" s="101"/>
      <c r="I4" s="101"/>
      <c r="J4" s="11"/>
      <c r="W4" s="12"/>
      <c r="Y4" s="13"/>
      <c r="Z4" s="6"/>
      <c r="AA4" s="13"/>
      <c r="AB4" s="13"/>
      <c r="AC4" s="13"/>
      <c r="AD4" s="13"/>
      <c r="AE4" s="13"/>
      <c r="AF4" s="13"/>
      <c r="AG4" s="13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15"/>
      <c r="BS4" s="15"/>
      <c r="BT4" s="15"/>
      <c r="BU4" s="15"/>
      <c r="BV4" s="13"/>
      <c r="BW4" s="13"/>
      <c r="BX4" s="15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</row>
    <row r="5" spans="1:91" ht="63.75" customHeight="1" x14ac:dyDescent="1.1499999999999999">
      <c r="A5" s="16"/>
      <c r="I5" s="69" t="s">
        <v>294</v>
      </c>
      <c r="J5" s="69"/>
      <c r="N5" s="69" t="s">
        <v>294</v>
      </c>
      <c r="W5" s="69" t="s">
        <v>294</v>
      </c>
      <c r="X5" s="14"/>
      <c r="Z5" s="69" t="s">
        <v>294</v>
      </c>
      <c r="AB5" s="69" t="s">
        <v>294</v>
      </c>
      <c r="AC5" s="69"/>
      <c r="AD5" s="69"/>
      <c r="AE5" s="69"/>
      <c r="AF5" s="14"/>
      <c r="AG5" s="69" t="s">
        <v>294</v>
      </c>
      <c r="AI5" s="17"/>
      <c r="AK5" s="69"/>
      <c r="AO5" s="69" t="s">
        <v>294</v>
      </c>
      <c r="AR5" s="17"/>
      <c r="AS5" s="17"/>
      <c r="AT5" s="69" t="s">
        <v>294</v>
      </c>
      <c r="AY5" s="69" t="s">
        <v>294</v>
      </c>
      <c r="BG5" s="69" t="s">
        <v>294</v>
      </c>
      <c r="BH5" s="69"/>
      <c r="BI5" s="69"/>
      <c r="BJ5" s="69"/>
      <c r="BK5" s="69"/>
      <c r="BO5" s="69" t="s">
        <v>294</v>
      </c>
      <c r="BV5" s="69" t="s">
        <v>294</v>
      </c>
      <c r="BW5" s="69"/>
      <c r="BY5" s="18"/>
      <c r="CA5" s="18"/>
      <c r="CB5" s="18"/>
      <c r="CC5" s="69" t="s">
        <v>294</v>
      </c>
      <c r="CD5" s="69"/>
      <c r="CE5" s="69"/>
      <c r="CF5" s="18"/>
      <c r="CG5" s="18"/>
      <c r="CI5" s="69" t="s">
        <v>294</v>
      </c>
      <c r="CJ5" s="18"/>
      <c r="CK5" s="18"/>
      <c r="CL5" s="69" t="s">
        <v>294</v>
      </c>
    </row>
    <row r="6" spans="1:91" s="19" customFormat="1" ht="82.5" customHeight="1" x14ac:dyDescent="0.7">
      <c r="A6" s="93" t="s">
        <v>209</v>
      </c>
      <c r="B6" s="94" t="s">
        <v>190</v>
      </c>
      <c r="C6" s="94"/>
      <c r="D6" s="78" t="s">
        <v>210</v>
      </c>
      <c r="E6" s="78"/>
      <c r="F6" s="78"/>
      <c r="G6" s="78"/>
      <c r="H6" s="78"/>
      <c r="I6" s="78"/>
      <c r="J6" s="78" t="s">
        <v>210</v>
      </c>
      <c r="K6" s="78"/>
      <c r="L6" s="78"/>
      <c r="M6" s="78"/>
      <c r="N6" s="78"/>
      <c r="O6" s="78" t="s">
        <v>210</v>
      </c>
      <c r="P6" s="78"/>
      <c r="Q6" s="78"/>
      <c r="R6" s="78"/>
      <c r="S6" s="78"/>
      <c r="T6" s="78"/>
      <c r="U6" s="78"/>
      <c r="V6" s="78"/>
      <c r="W6" s="78" t="s">
        <v>93</v>
      </c>
      <c r="X6" s="78" t="s">
        <v>211</v>
      </c>
      <c r="Y6" s="78"/>
      <c r="Z6" s="78"/>
      <c r="AA6" s="78" t="s">
        <v>211</v>
      </c>
      <c r="AB6" s="78"/>
      <c r="AC6" s="78" t="s">
        <v>211</v>
      </c>
      <c r="AD6" s="78"/>
      <c r="AE6" s="78"/>
      <c r="AF6" s="78"/>
      <c r="AG6" s="78"/>
      <c r="AH6" s="78" t="s">
        <v>211</v>
      </c>
      <c r="AI6" s="78"/>
      <c r="AJ6" s="78"/>
      <c r="AK6" s="78"/>
      <c r="AL6" s="78"/>
      <c r="AM6" s="78"/>
      <c r="AN6" s="78"/>
      <c r="AO6" s="78"/>
      <c r="AP6" s="83" t="s">
        <v>211</v>
      </c>
      <c r="AQ6" s="84"/>
      <c r="AR6" s="84"/>
      <c r="AS6" s="84"/>
      <c r="AT6" s="85"/>
      <c r="AU6" s="83" t="s">
        <v>211</v>
      </c>
      <c r="AV6" s="84"/>
      <c r="AW6" s="84"/>
      <c r="AX6" s="84"/>
      <c r="AY6" s="85"/>
      <c r="AZ6" s="78" t="s">
        <v>211</v>
      </c>
      <c r="BA6" s="78"/>
      <c r="BB6" s="78"/>
      <c r="BC6" s="78"/>
      <c r="BD6" s="78"/>
      <c r="BE6" s="78"/>
      <c r="BF6" s="78"/>
      <c r="BG6" s="78"/>
      <c r="BH6" s="78" t="s">
        <v>211</v>
      </c>
      <c r="BI6" s="78"/>
      <c r="BJ6" s="78"/>
      <c r="BK6" s="78"/>
      <c r="BL6" s="78"/>
      <c r="BM6" s="78"/>
      <c r="BN6" s="78"/>
      <c r="BO6" s="78"/>
      <c r="BP6" s="78" t="s">
        <v>211</v>
      </c>
      <c r="BQ6" s="78"/>
      <c r="BR6" s="78"/>
      <c r="BS6" s="78"/>
      <c r="BT6" s="78"/>
      <c r="BU6" s="78"/>
      <c r="BV6" s="78"/>
      <c r="BW6" s="78" t="s">
        <v>211</v>
      </c>
      <c r="BX6" s="78"/>
      <c r="BY6" s="78"/>
      <c r="BZ6" s="78"/>
      <c r="CA6" s="78"/>
      <c r="CB6" s="78"/>
      <c r="CC6" s="78"/>
      <c r="CD6" s="78" t="s">
        <v>211</v>
      </c>
      <c r="CE6" s="78"/>
      <c r="CF6" s="78"/>
      <c r="CG6" s="78"/>
      <c r="CH6" s="78"/>
      <c r="CI6" s="78"/>
      <c r="CJ6" s="78" t="s">
        <v>211</v>
      </c>
      <c r="CK6" s="78"/>
      <c r="CL6" s="78" t="s">
        <v>93</v>
      </c>
      <c r="CM6" s="36"/>
    </row>
    <row r="7" spans="1:91" s="20" customFormat="1" ht="79.5" customHeight="1" x14ac:dyDescent="0.55000000000000004">
      <c r="A7" s="93"/>
      <c r="B7" s="94"/>
      <c r="C7" s="94"/>
      <c r="D7" s="78" t="s">
        <v>199</v>
      </c>
      <c r="E7" s="78"/>
      <c r="F7" s="78"/>
      <c r="G7" s="78"/>
      <c r="H7" s="78"/>
      <c r="I7" s="78"/>
      <c r="J7" s="78" t="s">
        <v>199</v>
      </c>
      <c r="K7" s="78"/>
      <c r="L7" s="78"/>
      <c r="M7" s="78"/>
      <c r="N7" s="78"/>
      <c r="O7" s="78" t="s">
        <v>199</v>
      </c>
      <c r="P7" s="78"/>
      <c r="Q7" s="78"/>
      <c r="R7" s="78"/>
      <c r="S7" s="78"/>
      <c r="T7" s="78"/>
      <c r="U7" s="78"/>
      <c r="V7" s="78"/>
      <c r="W7" s="78"/>
      <c r="X7" s="79" t="s">
        <v>90</v>
      </c>
      <c r="Y7" s="79"/>
      <c r="Z7" s="64" t="s">
        <v>36</v>
      </c>
      <c r="AA7" s="79" t="s">
        <v>36</v>
      </c>
      <c r="AB7" s="79"/>
      <c r="AC7" s="79" t="s">
        <v>36</v>
      </c>
      <c r="AD7" s="79"/>
      <c r="AE7" s="79"/>
      <c r="AF7" s="79"/>
      <c r="AG7" s="79"/>
      <c r="AH7" s="79" t="s">
        <v>36</v>
      </c>
      <c r="AI7" s="79"/>
      <c r="AJ7" s="79"/>
      <c r="AK7" s="79"/>
      <c r="AL7" s="79"/>
      <c r="AM7" s="79"/>
      <c r="AN7" s="79"/>
      <c r="AO7" s="79"/>
      <c r="AP7" s="83" t="s">
        <v>36</v>
      </c>
      <c r="AQ7" s="84"/>
      <c r="AR7" s="84"/>
      <c r="AS7" s="84"/>
      <c r="AT7" s="85"/>
      <c r="AU7" s="86" t="s">
        <v>36</v>
      </c>
      <c r="AV7" s="87"/>
      <c r="AW7" s="87"/>
      <c r="AX7" s="87"/>
      <c r="AY7" s="88"/>
      <c r="AZ7" s="79" t="s">
        <v>36</v>
      </c>
      <c r="BA7" s="79"/>
      <c r="BB7" s="79"/>
      <c r="BC7" s="79"/>
      <c r="BD7" s="79"/>
      <c r="BE7" s="79"/>
      <c r="BF7" s="79"/>
      <c r="BG7" s="79"/>
      <c r="BH7" s="79" t="s">
        <v>36</v>
      </c>
      <c r="BI7" s="79"/>
      <c r="BJ7" s="79"/>
      <c r="BK7" s="79"/>
      <c r="BL7" s="79"/>
      <c r="BM7" s="79"/>
      <c r="BN7" s="79"/>
      <c r="BO7" s="79"/>
      <c r="BP7" s="79" t="s">
        <v>36</v>
      </c>
      <c r="BQ7" s="79"/>
      <c r="BR7" s="79"/>
      <c r="BS7" s="79"/>
      <c r="BT7" s="79"/>
      <c r="BU7" s="79"/>
      <c r="BV7" s="64" t="s">
        <v>90</v>
      </c>
      <c r="BW7" s="79" t="s">
        <v>36</v>
      </c>
      <c r="BX7" s="79"/>
      <c r="BY7" s="79"/>
      <c r="BZ7" s="79"/>
      <c r="CA7" s="79"/>
      <c r="CB7" s="79"/>
      <c r="CC7" s="79"/>
      <c r="CD7" s="78" t="s">
        <v>36</v>
      </c>
      <c r="CE7" s="78"/>
      <c r="CF7" s="78"/>
      <c r="CG7" s="78"/>
      <c r="CH7" s="78"/>
      <c r="CI7" s="78"/>
      <c r="CJ7" s="78" t="s">
        <v>36</v>
      </c>
      <c r="CK7" s="78"/>
      <c r="CL7" s="78"/>
      <c r="CM7" s="37"/>
    </row>
    <row r="8" spans="1:91" s="21" customFormat="1" ht="96.75" customHeight="1" x14ac:dyDescent="1">
      <c r="A8" s="93"/>
      <c r="B8" s="94"/>
      <c r="C8" s="94"/>
      <c r="D8" s="78" t="s">
        <v>92</v>
      </c>
      <c r="E8" s="78"/>
      <c r="F8" s="78"/>
      <c r="G8" s="78"/>
      <c r="H8" s="78" t="s">
        <v>91</v>
      </c>
      <c r="I8" s="78"/>
      <c r="J8" s="78" t="s">
        <v>92</v>
      </c>
      <c r="K8" s="78"/>
      <c r="L8" s="78"/>
      <c r="M8" s="78"/>
      <c r="N8" s="78"/>
      <c r="O8" s="78" t="s">
        <v>92</v>
      </c>
      <c r="P8" s="78"/>
      <c r="Q8" s="78"/>
      <c r="R8" s="78" t="s">
        <v>91</v>
      </c>
      <c r="S8" s="78"/>
      <c r="T8" s="78"/>
      <c r="U8" s="78"/>
      <c r="V8" s="78"/>
      <c r="W8" s="78"/>
      <c r="X8" s="79"/>
      <c r="Y8" s="79"/>
      <c r="Z8" s="51" t="s">
        <v>92</v>
      </c>
      <c r="AA8" s="78" t="s">
        <v>92</v>
      </c>
      <c r="AB8" s="78"/>
      <c r="AC8" s="78" t="s">
        <v>92</v>
      </c>
      <c r="AD8" s="78"/>
      <c r="AE8" s="78"/>
      <c r="AF8" s="78"/>
      <c r="AG8" s="78"/>
      <c r="AH8" s="78" t="s">
        <v>92</v>
      </c>
      <c r="AI8" s="78"/>
      <c r="AJ8" s="78"/>
      <c r="AK8" s="78"/>
      <c r="AL8" s="78"/>
      <c r="AM8" s="78"/>
      <c r="AN8" s="78"/>
      <c r="AO8" s="78"/>
      <c r="AP8" s="83" t="s">
        <v>92</v>
      </c>
      <c r="AQ8" s="84"/>
      <c r="AR8" s="84"/>
      <c r="AS8" s="84"/>
      <c r="AT8" s="85"/>
      <c r="AU8" s="83" t="s">
        <v>92</v>
      </c>
      <c r="AV8" s="84"/>
      <c r="AW8" s="84"/>
      <c r="AX8" s="84"/>
      <c r="AY8" s="85"/>
      <c r="AZ8" s="60" t="s">
        <v>92</v>
      </c>
      <c r="BA8" s="60" t="s">
        <v>91</v>
      </c>
      <c r="BB8" s="78" t="s">
        <v>92</v>
      </c>
      <c r="BC8" s="78"/>
      <c r="BD8" s="78"/>
      <c r="BE8" s="78"/>
      <c r="BF8" s="78"/>
      <c r="BG8" s="78"/>
      <c r="BH8" s="78" t="s">
        <v>92</v>
      </c>
      <c r="BI8" s="78"/>
      <c r="BJ8" s="78"/>
      <c r="BK8" s="78"/>
      <c r="BL8" s="78"/>
      <c r="BM8" s="78"/>
      <c r="BN8" s="78"/>
      <c r="BO8" s="78"/>
      <c r="BP8" s="60" t="s">
        <v>92</v>
      </c>
      <c r="BQ8" s="78" t="s">
        <v>91</v>
      </c>
      <c r="BR8" s="78"/>
      <c r="BS8" s="78"/>
      <c r="BT8" s="78"/>
      <c r="BU8" s="78" t="s">
        <v>92</v>
      </c>
      <c r="BV8" s="78"/>
      <c r="BW8" s="78" t="s">
        <v>92</v>
      </c>
      <c r="BX8" s="78"/>
      <c r="BY8" s="78"/>
      <c r="BZ8" s="78"/>
      <c r="CA8" s="78"/>
      <c r="CB8" s="78"/>
      <c r="CC8" s="78"/>
      <c r="CD8" s="78" t="s">
        <v>91</v>
      </c>
      <c r="CE8" s="78"/>
      <c r="CF8" s="78"/>
      <c r="CG8" s="78"/>
      <c r="CH8" s="78"/>
      <c r="CI8" s="78"/>
      <c r="CJ8" s="78" t="s">
        <v>91</v>
      </c>
      <c r="CK8" s="78"/>
      <c r="CL8" s="78"/>
      <c r="CM8" s="38"/>
    </row>
    <row r="9" spans="1:91" s="22" customFormat="1" ht="101.25" customHeight="1" x14ac:dyDescent="0.65">
      <c r="A9" s="93"/>
      <c r="B9" s="94"/>
      <c r="C9" s="94"/>
      <c r="D9" s="78" t="s">
        <v>240</v>
      </c>
      <c r="E9" s="78" t="s">
        <v>292</v>
      </c>
      <c r="F9" s="78" t="s">
        <v>295</v>
      </c>
      <c r="G9" s="78" t="s">
        <v>245</v>
      </c>
      <c r="H9" s="78"/>
      <c r="I9" s="78" t="s">
        <v>265</v>
      </c>
      <c r="J9" s="78" t="s">
        <v>296</v>
      </c>
      <c r="K9" s="78" t="s">
        <v>194</v>
      </c>
      <c r="L9" s="78" t="s">
        <v>297</v>
      </c>
      <c r="M9" s="78" t="s">
        <v>298</v>
      </c>
      <c r="N9" s="78" t="s">
        <v>246</v>
      </c>
      <c r="O9" s="78" t="s">
        <v>247</v>
      </c>
      <c r="P9" s="78" t="s">
        <v>299</v>
      </c>
      <c r="Q9" s="78" t="s">
        <v>300</v>
      </c>
      <c r="R9" s="78" t="s">
        <v>301</v>
      </c>
      <c r="S9" s="78" t="s">
        <v>282</v>
      </c>
      <c r="T9" s="78" t="s">
        <v>302</v>
      </c>
      <c r="U9" s="78" t="s">
        <v>300</v>
      </c>
      <c r="V9" s="78" t="s">
        <v>194</v>
      </c>
      <c r="W9" s="78"/>
      <c r="X9" s="78" t="s">
        <v>196</v>
      </c>
      <c r="Y9" s="78" t="s">
        <v>195</v>
      </c>
      <c r="Z9" s="78" t="s">
        <v>200</v>
      </c>
      <c r="AA9" s="80" t="s">
        <v>303</v>
      </c>
      <c r="AB9" s="80"/>
      <c r="AC9" s="80" t="s">
        <v>304</v>
      </c>
      <c r="AD9" s="80"/>
      <c r="AE9" s="80"/>
      <c r="AF9" s="80" t="s">
        <v>305</v>
      </c>
      <c r="AG9" s="80"/>
      <c r="AH9" s="78" t="s">
        <v>201</v>
      </c>
      <c r="AI9" s="78" t="s">
        <v>225</v>
      </c>
      <c r="AJ9" s="78"/>
      <c r="AK9" s="78"/>
      <c r="AL9" s="78" t="s">
        <v>250</v>
      </c>
      <c r="AM9" s="78" t="s">
        <v>225</v>
      </c>
      <c r="AN9" s="78"/>
      <c r="AO9" s="78"/>
      <c r="AP9" s="78"/>
      <c r="AQ9" s="78"/>
      <c r="AR9" s="78" t="s">
        <v>202</v>
      </c>
      <c r="AS9" s="78" t="s">
        <v>225</v>
      </c>
      <c r="AT9" s="78"/>
      <c r="AU9" s="78" t="s">
        <v>306</v>
      </c>
      <c r="AV9" s="78" t="s">
        <v>225</v>
      </c>
      <c r="AW9" s="78"/>
      <c r="AX9" s="78"/>
      <c r="AY9" s="78"/>
      <c r="AZ9" s="78" t="s">
        <v>307</v>
      </c>
      <c r="BA9" s="78"/>
      <c r="BB9" s="78" t="s">
        <v>258</v>
      </c>
      <c r="BC9" s="78" t="s">
        <v>284</v>
      </c>
      <c r="BD9" s="78" t="s">
        <v>225</v>
      </c>
      <c r="BE9" s="78"/>
      <c r="BF9" s="78" t="s">
        <v>308</v>
      </c>
      <c r="BG9" s="60" t="s">
        <v>225</v>
      </c>
      <c r="BH9" s="78" t="s">
        <v>309</v>
      </c>
      <c r="BI9" s="78" t="s">
        <v>225</v>
      </c>
      <c r="BJ9" s="78"/>
      <c r="BK9" s="78" t="s">
        <v>290</v>
      </c>
      <c r="BL9" s="78" t="s">
        <v>236</v>
      </c>
      <c r="BM9" s="60" t="s">
        <v>225</v>
      </c>
      <c r="BN9" s="78" t="s">
        <v>310</v>
      </c>
      <c r="BO9" s="78" t="s">
        <v>311</v>
      </c>
      <c r="BP9" s="78" t="s">
        <v>261</v>
      </c>
      <c r="BQ9" s="78"/>
      <c r="BR9" s="78" t="s">
        <v>94</v>
      </c>
      <c r="BS9" s="78" t="s">
        <v>95</v>
      </c>
      <c r="BT9" s="78" t="s">
        <v>312</v>
      </c>
      <c r="BU9" s="78"/>
      <c r="BV9" s="78" t="s">
        <v>264</v>
      </c>
      <c r="BW9" s="78" t="s">
        <v>281</v>
      </c>
      <c r="BX9" s="78" t="s">
        <v>251</v>
      </c>
      <c r="BY9" s="78" t="s">
        <v>230</v>
      </c>
      <c r="BZ9" s="78" t="s">
        <v>313</v>
      </c>
      <c r="CA9" s="78" t="s">
        <v>273</v>
      </c>
      <c r="CB9" s="78" t="s">
        <v>252</v>
      </c>
      <c r="CC9" s="78" t="s">
        <v>234</v>
      </c>
      <c r="CD9" s="104" t="s">
        <v>314</v>
      </c>
      <c r="CE9" s="104" t="s">
        <v>235</v>
      </c>
      <c r="CF9" s="78" t="s">
        <v>99</v>
      </c>
      <c r="CG9" s="78" t="s">
        <v>233</v>
      </c>
      <c r="CH9" s="78" t="s">
        <v>252</v>
      </c>
      <c r="CI9" s="78" t="s">
        <v>293</v>
      </c>
      <c r="CJ9" s="81" t="s">
        <v>315</v>
      </c>
      <c r="CK9" s="81"/>
      <c r="CL9" s="78"/>
      <c r="CM9" s="39"/>
    </row>
    <row r="10" spans="1:91" s="22" customFormat="1" ht="409.6" customHeight="1" x14ac:dyDescent="0.65">
      <c r="A10" s="93"/>
      <c r="B10" s="94"/>
      <c r="C10" s="94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80"/>
      <c r="AB10" s="80"/>
      <c r="AC10" s="80"/>
      <c r="AD10" s="80"/>
      <c r="AE10" s="80"/>
      <c r="AF10" s="80"/>
      <c r="AG10" s="80"/>
      <c r="AH10" s="78"/>
      <c r="AI10" s="60" t="s">
        <v>226</v>
      </c>
      <c r="AJ10" s="60" t="s">
        <v>227</v>
      </c>
      <c r="AK10" s="60" t="s">
        <v>266</v>
      </c>
      <c r="AL10" s="78"/>
      <c r="AM10" s="60" t="s">
        <v>270</v>
      </c>
      <c r="AN10" s="60" t="s">
        <v>269</v>
      </c>
      <c r="AO10" s="60" t="s">
        <v>268</v>
      </c>
      <c r="AP10" s="60" t="s">
        <v>267</v>
      </c>
      <c r="AQ10" s="60" t="s">
        <v>249</v>
      </c>
      <c r="AR10" s="78"/>
      <c r="AS10" s="60" t="s">
        <v>277</v>
      </c>
      <c r="AT10" s="60" t="s">
        <v>278</v>
      </c>
      <c r="AU10" s="78"/>
      <c r="AV10" s="60" t="s">
        <v>271</v>
      </c>
      <c r="AW10" s="78" t="s">
        <v>272</v>
      </c>
      <c r="AX10" s="78"/>
      <c r="AY10" s="60" t="s">
        <v>260</v>
      </c>
      <c r="AZ10" s="78"/>
      <c r="BA10" s="78"/>
      <c r="BB10" s="78"/>
      <c r="BC10" s="78"/>
      <c r="BD10" s="60" t="s">
        <v>277</v>
      </c>
      <c r="BE10" s="60" t="s">
        <v>278</v>
      </c>
      <c r="BF10" s="78"/>
      <c r="BG10" s="60" t="s">
        <v>276</v>
      </c>
      <c r="BH10" s="78"/>
      <c r="BI10" s="60" t="s">
        <v>275</v>
      </c>
      <c r="BJ10" s="60" t="s">
        <v>279</v>
      </c>
      <c r="BK10" s="78"/>
      <c r="BL10" s="78"/>
      <c r="BM10" s="60" t="s">
        <v>274</v>
      </c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 t="s">
        <v>257</v>
      </c>
      <c r="CA10" s="78"/>
      <c r="CB10" s="78"/>
      <c r="CC10" s="78"/>
      <c r="CD10" s="104"/>
      <c r="CE10" s="104"/>
      <c r="CF10" s="78"/>
      <c r="CG10" s="78"/>
      <c r="CH10" s="78"/>
      <c r="CI10" s="78"/>
      <c r="CJ10" s="81"/>
      <c r="CK10" s="81"/>
      <c r="CL10" s="78"/>
      <c r="CM10" s="39"/>
    </row>
    <row r="11" spans="1:91" s="23" customFormat="1" ht="90" customHeight="1" x14ac:dyDescent="0.65">
      <c r="A11" s="66"/>
      <c r="B11" s="96"/>
      <c r="C11" s="97"/>
      <c r="D11" s="65" t="s">
        <v>239</v>
      </c>
      <c r="E11" s="65" t="s">
        <v>289</v>
      </c>
      <c r="F11" s="65" t="s">
        <v>241</v>
      </c>
      <c r="G11" s="90" t="s">
        <v>244</v>
      </c>
      <c r="H11" s="92"/>
      <c r="I11" s="65" t="s">
        <v>232</v>
      </c>
      <c r="J11" s="89" t="s">
        <v>214</v>
      </c>
      <c r="K11" s="89"/>
      <c r="L11" s="89"/>
      <c r="M11" s="89"/>
      <c r="N11" s="89"/>
      <c r="O11" s="89" t="s">
        <v>214</v>
      </c>
      <c r="P11" s="89"/>
      <c r="Q11" s="89"/>
      <c r="R11" s="89"/>
      <c r="S11" s="89"/>
      <c r="T11" s="89"/>
      <c r="U11" s="89"/>
      <c r="V11" s="89"/>
      <c r="W11" s="42"/>
      <c r="X11" s="65" t="s">
        <v>212</v>
      </c>
      <c r="Y11" s="65" t="s">
        <v>213</v>
      </c>
      <c r="Z11" s="65" t="s">
        <v>253</v>
      </c>
      <c r="AA11" s="82" t="s">
        <v>286</v>
      </c>
      <c r="AB11" s="82"/>
      <c r="AC11" s="82" t="s">
        <v>288</v>
      </c>
      <c r="AD11" s="82"/>
      <c r="AE11" s="82"/>
      <c r="AF11" s="82" t="s">
        <v>287</v>
      </c>
      <c r="AG11" s="82"/>
      <c r="AH11" s="82" t="s">
        <v>217</v>
      </c>
      <c r="AI11" s="82"/>
      <c r="AJ11" s="82"/>
      <c r="AK11" s="82"/>
      <c r="AL11" s="90" t="s">
        <v>248</v>
      </c>
      <c r="AM11" s="91"/>
      <c r="AN11" s="91"/>
      <c r="AO11" s="92"/>
      <c r="AP11" s="90" t="s">
        <v>248</v>
      </c>
      <c r="AQ11" s="92"/>
      <c r="AR11" s="82" t="s">
        <v>218</v>
      </c>
      <c r="AS11" s="82"/>
      <c r="AT11" s="82"/>
      <c r="AU11" s="65" t="s">
        <v>255</v>
      </c>
      <c r="AV11" s="90" t="s">
        <v>255</v>
      </c>
      <c r="AW11" s="91"/>
      <c r="AX11" s="91"/>
      <c r="AY11" s="92"/>
      <c r="AZ11" s="89" t="s">
        <v>256</v>
      </c>
      <c r="BA11" s="89"/>
      <c r="BB11" s="67" t="s">
        <v>259</v>
      </c>
      <c r="BC11" s="89" t="s">
        <v>283</v>
      </c>
      <c r="BD11" s="89"/>
      <c r="BE11" s="89"/>
      <c r="BF11" s="82" t="s">
        <v>219</v>
      </c>
      <c r="BG11" s="82"/>
      <c r="BH11" s="82" t="s">
        <v>263</v>
      </c>
      <c r="BI11" s="82"/>
      <c r="BJ11" s="82"/>
      <c r="BK11" s="65" t="s">
        <v>291</v>
      </c>
      <c r="BL11" s="82" t="s">
        <v>254</v>
      </c>
      <c r="BM11" s="82"/>
      <c r="BN11" s="90" t="s">
        <v>228</v>
      </c>
      <c r="BO11" s="91"/>
      <c r="BP11" s="91" t="s">
        <v>228</v>
      </c>
      <c r="BQ11" s="91"/>
      <c r="BR11" s="91"/>
      <c r="BS11" s="91"/>
      <c r="BT11" s="91"/>
      <c r="BU11" s="92"/>
      <c r="BV11" s="65" t="s">
        <v>262</v>
      </c>
      <c r="BW11" s="65" t="s">
        <v>280</v>
      </c>
      <c r="BX11" s="90" t="s">
        <v>220</v>
      </c>
      <c r="BY11" s="91"/>
      <c r="BZ11" s="91"/>
      <c r="CA11" s="91"/>
      <c r="CB11" s="91"/>
      <c r="CC11" s="92"/>
      <c r="CD11" s="90" t="s">
        <v>220</v>
      </c>
      <c r="CE11" s="91"/>
      <c r="CF11" s="91"/>
      <c r="CG11" s="91"/>
      <c r="CH11" s="91"/>
      <c r="CI11" s="92"/>
      <c r="CJ11" s="90" t="s">
        <v>220</v>
      </c>
      <c r="CK11" s="92"/>
      <c r="CL11" s="43"/>
    </row>
    <row r="12" spans="1:91" ht="62.25" customHeight="1" x14ac:dyDescent="0.95">
      <c r="A12" s="2" t="s">
        <v>3</v>
      </c>
      <c r="B12" s="95" t="s">
        <v>100</v>
      </c>
      <c r="C12" s="95"/>
      <c r="D12" s="44"/>
      <c r="E12" s="44"/>
      <c r="F12" s="44"/>
      <c r="G12" s="44"/>
      <c r="H12" s="44"/>
      <c r="I12" s="44"/>
      <c r="J12" s="44"/>
      <c r="K12" s="1">
        <v>23000</v>
      </c>
      <c r="L12" s="44"/>
      <c r="M12" s="45"/>
      <c r="N12" s="24"/>
      <c r="O12" s="24"/>
      <c r="P12" s="44"/>
      <c r="Q12" s="44"/>
      <c r="R12" s="44"/>
      <c r="S12" s="44"/>
      <c r="T12" s="44"/>
      <c r="U12" s="44"/>
      <c r="V12" s="44"/>
      <c r="W12" s="1">
        <f t="shared" ref="W12:W43" si="0">SUM(D12:T12)+V12+U12</f>
        <v>23000</v>
      </c>
      <c r="X12" s="62"/>
      <c r="Y12" s="62"/>
      <c r="Z12" s="1"/>
      <c r="AA12" s="76"/>
      <c r="AB12" s="76"/>
      <c r="AC12" s="75"/>
      <c r="AD12" s="75"/>
      <c r="AE12" s="75"/>
      <c r="AF12" s="75"/>
      <c r="AG12" s="75"/>
      <c r="AH12" s="1">
        <f>AI12+AJ12</f>
        <v>944959</v>
      </c>
      <c r="AI12" s="1">
        <v>944959</v>
      </c>
      <c r="AJ12" s="1"/>
      <c r="AK12" s="1"/>
      <c r="AL12" s="1">
        <f>AM12+AN12+AO12+AP12+AQ12</f>
        <v>1000000</v>
      </c>
      <c r="AM12" s="1"/>
      <c r="AN12" s="1"/>
      <c r="AO12" s="1"/>
      <c r="AP12" s="1"/>
      <c r="AQ12" s="1">
        <v>1000000</v>
      </c>
      <c r="AR12" s="1">
        <f>AS12+AT12</f>
        <v>254400</v>
      </c>
      <c r="AS12" s="1">
        <f>171528+8472</f>
        <v>180000</v>
      </c>
      <c r="AT12" s="1">
        <f>90876-16476</f>
        <v>74400</v>
      </c>
      <c r="AU12" s="1">
        <f>AV12+AW12+AY12</f>
        <v>409897</v>
      </c>
      <c r="AV12" s="1">
        <f>407376+2521</f>
        <v>409897</v>
      </c>
      <c r="AW12" s="75"/>
      <c r="AX12" s="75"/>
      <c r="AY12" s="61"/>
      <c r="AZ12" s="1"/>
      <c r="BA12" s="1"/>
      <c r="BB12" s="62">
        <v>336320</v>
      </c>
      <c r="BC12" s="62">
        <f>BD12+BE12</f>
        <v>0</v>
      </c>
      <c r="BD12" s="62"/>
      <c r="BE12" s="62"/>
      <c r="BF12" s="1">
        <v>182078</v>
      </c>
      <c r="BG12" s="1">
        <v>182078</v>
      </c>
      <c r="BH12" s="1">
        <f>BI12+BJ12</f>
        <v>1233935</v>
      </c>
      <c r="BI12" s="1">
        <v>563835</v>
      </c>
      <c r="BJ12" s="46">
        <v>670100</v>
      </c>
      <c r="BK12" s="46"/>
      <c r="BL12" s="1"/>
      <c r="BM12" s="1"/>
      <c r="BN12" s="1"/>
      <c r="BO12" s="1"/>
      <c r="BP12" s="1"/>
      <c r="BQ12" s="1"/>
      <c r="BR12" s="1">
        <v>0</v>
      </c>
      <c r="BS12" s="1"/>
      <c r="BT12" s="1"/>
      <c r="BU12" s="1"/>
      <c r="BV12" s="62"/>
      <c r="BW12" s="62"/>
      <c r="BX12" s="1">
        <v>8351</v>
      </c>
      <c r="BY12" s="1">
        <f>500000-10000</f>
        <v>490000</v>
      </c>
      <c r="BZ12" s="1"/>
      <c r="CA12" s="1"/>
      <c r="CB12" s="1"/>
      <c r="CC12" s="1"/>
      <c r="CD12" s="1"/>
      <c r="CE12" s="1"/>
      <c r="CF12" s="1">
        <v>600000</v>
      </c>
      <c r="CG12" s="1"/>
      <c r="CH12" s="1"/>
      <c r="CI12" s="1"/>
      <c r="CJ12" s="75"/>
      <c r="CK12" s="75"/>
      <c r="CL12" s="1">
        <f t="shared" ref="CL12:CL43" si="1">SUM(X12:CK12)-AI12-AJ12-AK12-AM12-AN12-AO12-AP12-AQ12-AS12-AT12-AV12-AW12-AY12-BG12-BI12-BJ12-BM12-BC12</f>
        <v>5459940</v>
      </c>
    </row>
    <row r="13" spans="1:91" ht="62.25" customHeight="1" x14ac:dyDescent="0.95">
      <c r="A13" s="2" t="s">
        <v>4</v>
      </c>
      <c r="B13" s="95" t="s">
        <v>101</v>
      </c>
      <c r="C13" s="95"/>
      <c r="D13" s="44"/>
      <c r="E13" s="44"/>
      <c r="F13" s="44"/>
      <c r="G13" s="44"/>
      <c r="H13" s="44"/>
      <c r="I13" s="44"/>
      <c r="J13" s="1">
        <v>2150000</v>
      </c>
      <c r="K13" s="1"/>
      <c r="L13" s="1"/>
      <c r="M13" s="62"/>
      <c r="N13" s="1"/>
      <c r="O13" s="1">
        <f>720774+489620</f>
        <v>1210394</v>
      </c>
      <c r="P13" s="1"/>
      <c r="Q13" s="1">
        <f>300000+200000</f>
        <v>500000</v>
      </c>
      <c r="R13" s="1"/>
      <c r="S13" s="1"/>
      <c r="T13" s="1"/>
      <c r="U13" s="1">
        <f>90000+50000+344163</f>
        <v>484163</v>
      </c>
      <c r="V13" s="1"/>
      <c r="W13" s="1">
        <f t="shared" si="0"/>
        <v>4344557</v>
      </c>
      <c r="X13" s="62"/>
      <c r="Y13" s="62"/>
      <c r="Z13" s="1"/>
      <c r="AA13" s="76">
        <v>6670855.7999999998</v>
      </c>
      <c r="AB13" s="76"/>
      <c r="AC13" s="76">
        <v>8074724.9000000004</v>
      </c>
      <c r="AD13" s="76"/>
      <c r="AE13" s="76"/>
      <c r="AF13" s="76">
        <v>1042348</v>
      </c>
      <c r="AG13" s="76"/>
      <c r="AH13" s="1">
        <f t="shared" ref="AH13:AH22" si="2">AI13+AJ13</f>
        <v>10664642</v>
      </c>
      <c r="AI13" s="1">
        <v>4321356</v>
      </c>
      <c r="AJ13" s="1">
        <v>6343286</v>
      </c>
      <c r="AK13" s="1"/>
      <c r="AL13" s="1">
        <f t="shared" ref="AL13:AL76" si="3">AM13+AN13+AO13+AP13+AQ13</f>
        <v>5669495.2800000003</v>
      </c>
      <c r="AM13" s="1">
        <v>190695.5</v>
      </c>
      <c r="AN13" s="1"/>
      <c r="AO13" s="1">
        <v>478799.78</v>
      </c>
      <c r="AP13" s="26"/>
      <c r="AQ13" s="1">
        <v>5000000</v>
      </c>
      <c r="AR13" s="1">
        <f t="shared" ref="AR13:AR76" si="4">AS13+AT13</f>
        <v>8752152</v>
      </c>
      <c r="AS13" s="1">
        <f>5756494+405458</f>
        <v>6161952</v>
      </c>
      <c r="AT13" s="1">
        <f>3039263-449063</f>
        <v>2590200</v>
      </c>
      <c r="AU13" s="1">
        <f t="shared" ref="AU13:AU22" si="5">AV13+AW13+AY13</f>
        <v>16720261</v>
      </c>
      <c r="AV13" s="1">
        <f>16443621+101815</f>
        <v>16545436</v>
      </c>
      <c r="AW13" s="76">
        <v>174825</v>
      </c>
      <c r="AX13" s="76"/>
      <c r="AY13" s="61"/>
      <c r="AZ13" s="1"/>
      <c r="BA13" s="1"/>
      <c r="BB13" s="62">
        <v>22680580</v>
      </c>
      <c r="BC13" s="62">
        <f t="shared" ref="BC13:BC76" si="6">BD13+BE13</f>
        <v>0</v>
      </c>
      <c r="BD13" s="62"/>
      <c r="BE13" s="62"/>
      <c r="BF13" s="1">
        <v>6582165</v>
      </c>
      <c r="BG13" s="1">
        <v>6582165</v>
      </c>
      <c r="BH13" s="1">
        <f t="shared" ref="BH13:BH76" si="7">BI13+BJ13</f>
        <v>33128385</v>
      </c>
      <c r="BI13" s="1">
        <v>20402085</v>
      </c>
      <c r="BJ13" s="46">
        <v>12726300</v>
      </c>
      <c r="BK13" s="62">
        <v>10000000</v>
      </c>
      <c r="BL13" s="1"/>
      <c r="BM13" s="1"/>
      <c r="BN13" s="1"/>
      <c r="BO13" s="1"/>
      <c r="BP13" s="1"/>
      <c r="BQ13" s="1"/>
      <c r="BR13" s="1">
        <v>0</v>
      </c>
      <c r="BS13" s="1"/>
      <c r="BT13" s="1"/>
      <c r="BU13" s="1"/>
      <c r="BV13" s="62"/>
      <c r="BW13" s="62"/>
      <c r="BX13" s="1">
        <v>621506</v>
      </c>
      <c r="BY13" s="1">
        <f>15560000+95000-282830</f>
        <v>15372170</v>
      </c>
      <c r="BZ13" s="1">
        <v>4996264</v>
      </c>
      <c r="CA13" s="1"/>
      <c r="CB13" s="1"/>
      <c r="CC13" s="1">
        <v>689500</v>
      </c>
      <c r="CD13" s="1"/>
      <c r="CE13" s="1"/>
      <c r="CF13" s="1"/>
      <c r="CG13" s="1"/>
      <c r="CH13" s="1"/>
      <c r="CI13" s="1"/>
      <c r="CJ13" s="75"/>
      <c r="CK13" s="75"/>
      <c r="CL13" s="1">
        <f t="shared" si="1"/>
        <v>151665048.97999999</v>
      </c>
    </row>
    <row r="14" spans="1:91" ht="62.25" customHeight="1" x14ac:dyDescent="0.95">
      <c r="A14" s="2" t="s">
        <v>5</v>
      </c>
      <c r="B14" s="95" t="s">
        <v>102</v>
      </c>
      <c r="C14" s="95"/>
      <c r="D14" s="44"/>
      <c r="E14" s="44"/>
      <c r="F14" s="44"/>
      <c r="G14" s="44"/>
      <c r="H14" s="44"/>
      <c r="I14" s="44"/>
      <c r="J14" s="44"/>
      <c r="K14" s="47"/>
      <c r="L14" s="44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1">
        <f t="shared" si="0"/>
        <v>0</v>
      </c>
      <c r="X14" s="62"/>
      <c r="Y14" s="62"/>
      <c r="Z14" s="1"/>
      <c r="AA14" s="76"/>
      <c r="AB14" s="76"/>
      <c r="AC14" s="75"/>
      <c r="AD14" s="75"/>
      <c r="AE14" s="75"/>
      <c r="AF14" s="75"/>
      <c r="AG14" s="75"/>
      <c r="AH14" s="1">
        <f t="shared" si="2"/>
        <v>3301364</v>
      </c>
      <c r="AI14" s="1">
        <v>2962200</v>
      </c>
      <c r="AJ14" s="1">
        <v>339164</v>
      </c>
      <c r="AK14" s="1"/>
      <c r="AL14" s="1">
        <f t="shared" si="3"/>
        <v>239400</v>
      </c>
      <c r="AM14" s="1"/>
      <c r="AN14" s="1"/>
      <c r="AO14" s="1">
        <v>239400</v>
      </c>
      <c r="AP14" s="26"/>
      <c r="AQ14" s="1"/>
      <c r="AR14" s="1">
        <f t="shared" si="4"/>
        <v>3353387</v>
      </c>
      <c r="AS14" s="1">
        <f>2182158+160629</f>
        <v>2342787</v>
      </c>
      <c r="AT14" s="1">
        <f>1143051-132451</f>
        <v>1010600</v>
      </c>
      <c r="AU14" s="1">
        <f t="shared" si="5"/>
        <v>4348771</v>
      </c>
      <c r="AV14" s="1">
        <f>647930+3526016</f>
        <v>4173946</v>
      </c>
      <c r="AW14" s="76">
        <v>174825</v>
      </c>
      <c r="AX14" s="76"/>
      <c r="AY14" s="61"/>
      <c r="AZ14" s="1"/>
      <c r="BA14" s="1"/>
      <c r="BB14" s="62">
        <v>7314960</v>
      </c>
      <c r="BC14" s="62">
        <f t="shared" si="6"/>
        <v>0</v>
      </c>
      <c r="BD14" s="62"/>
      <c r="BE14" s="62"/>
      <c r="BF14" s="1">
        <v>1838670</v>
      </c>
      <c r="BG14" s="1">
        <v>1838670</v>
      </c>
      <c r="BH14" s="1">
        <f t="shared" si="7"/>
        <v>7300248</v>
      </c>
      <c r="BI14" s="1">
        <v>5693748</v>
      </c>
      <c r="BJ14" s="46">
        <v>1606500</v>
      </c>
      <c r="BK14" s="46"/>
      <c r="BL14" s="1"/>
      <c r="BM14" s="1"/>
      <c r="BN14" s="1"/>
      <c r="BO14" s="1"/>
      <c r="BP14" s="1"/>
      <c r="BQ14" s="1"/>
      <c r="BR14" s="1">
        <v>0</v>
      </c>
      <c r="BS14" s="1"/>
      <c r="BT14" s="1"/>
      <c r="BU14" s="1"/>
      <c r="BV14" s="62"/>
      <c r="BW14" s="62">
        <v>30000000</v>
      </c>
      <c r="BX14" s="1">
        <v>113399</v>
      </c>
      <c r="BY14" s="1">
        <v>1530000</v>
      </c>
      <c r="BZ14" s="1">
        <v>461745</v>
      </c>
      <c r="CA14" s="1"/>
      <c r="CB14" s="1"/>
      <c r="CC14" s="1"/>
      <c r="CD14" s="1"/>
      <c r="CE14" s="1"/>
      <c r="CF14" s="1"/>
      <c r="CG14" s="1"/>
      <c r="CH14" s="1"/>
      <c r="CI14" s="1"/>
      <c r="CJ14" s="75"/>
      <c r="CK14" s="75"/>
      <c r="CL14" s="1">
        <f t="shared" si="1"/>
        <v>59801944</v>
      </c>
    </row>
    <row r="15" spans="1:91" ht="62.25" customHeight="1" x14ac:dyDescent="0.95">
      <c r="A15" s="2" t="s">
        <v>6</v>
      </c>
      <c r="B15" s="95" t="s">
        <v>103</v>
      </c>
      <c r="C15" s="95"/>
      <c r="D15" s="44"/>
      <c r="E15" s="1">
        <v>5000000</v>
      </c>
      <c r="F15" s="44"/>
      <c r="G15" s="44"/>
      <c r="H15" s="44"/>
      <c r="I15" s="44"/>
      <c r="J15" s="44"/>
      <c r="K15" s="1">
        <v>44900</v>
      </c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4"/>
      <c r="W15" s="1">
        <f t="shared" si="0"/>
        <v>5044900</v>
      </c>
      <c r="X15" s="62"/>
      <c r="Y15" s="62"/>
      <c r="Z15" s="1"/>
      <c r="AA15" s="76"/>
      <c r="AB15" s="76"/>
      <c r="AC15" s="75"/>
      <c r="AD15" s="75"/>
      <c r="AE15" s="75"/>
      <c r="AF15" s="75"/>
      <c r="AG15" s="75"/>
      <c r="AH15" s="1">
        <f t="shared" si="2"/>
        <v>1377438</v>
      </c>
      <c r="AI15" s="1">
        <v>1377438</v>
      </c>
      <c r="AJ15" s="1"/>
      <c r="AK15" s="1"/>
      <c r="AL15" s="1">
        <f t="shared" si="3"/>
        <v>793500</v>
      </c>
      <c r="AM15" s="1"/>
      <c r="AN15" s="1"/>
      <c r="AO15" s="1">
        <f>558600-558600</f>
        <v>0</v>
      </c>
      <c r="AP15" s="26"/>
      <c r="AQ15" s="1">
        <v>793500</v>
      </c>
      <c r="AR15" s="1">
        <f t="shared" si="4"/>
        <v>588614</v>
      </c>
      <c r="AS15" s="1">
        <f>393024+21990</f>
        <v>415014</v>
      </c>
      <c r="AT15" s="1">
        <f>207588-33988</f>
        <v>173600</v>
      </c>
      <c r="AU15" s="1">
        <f t="shared" si="5"/>
        <v>651973</v>
      </c>
      <c r="AV15" s="1">
        <f>4148273-3496300</f>
        <v>651973</v>
      </c>
      <c r="AW15" s="76"/>
      <c r="AX15" s="76"/>
      <c r="AY15" s="61"/>
      <c r="AZ15" s="1"/>
      <c r="BA15" s="1"/>
      <c r="BB15" s="62">
        <v>777740</v>
      </c>
      <c r="BC15" s="62">
        <f t="shared" si="6"/>
        <v>0</v>
      </c>
      <c r="BD15" s="62"/>
      <c r="BE15" s="62"/>
      <c r="BF15" s="1">
        <v>307322</v>
      </c>
      <c r="BG15" s="1">
        <v>307322</v>
      </c>
      <c r="BH15" s="1">
        <f t="shared" si="7"/>
        <v>1052974</v>
      </c>
      <c r="BI15" s="1">
        <v>951674</v>
      </c>
      <c r="BJ15" s="46">
        <v>101300</v>
      </c>
      <c r="BK15" s="46"/>
      <c r="BL15" s="1"/>
      <c r="BM15" s="1"/>
      <c r="BN15" s="1"/>
      <c r="BO15" s="1"/>
      <c r="BP15" s="1"/>
      <c r="BQ15" s="1"/>
      <c r="BR15" s="1">
        <v>0</v>
      </c>
      <c r="BS15" s="1"/>
      <c r="BT15" s="1"/>
      <c r="BU15" s="1"/>
      <c r="BV15" s="62"/>
      <c r="BW15" s="62"/>
      <c r="BX15" s="1">
        <v>39558</v>
      </c>
      <c r="BY15" s="1">
        <f>1040000-40000</f>
        <v>1000000</v>
      </c>
      <c r="BZ15" s="1"/>
      <c r="CA15" s="1"/>
      <c r="CB15" s="1"/>
      <c r="CC15" s="1">
        <v>40000</v>
      </c>
      <c r="CD15" s="1"/>
      <c r="CE15" s="1"/>
      <c r="CF15" s="1"/>
      <c r="CG15" s="1"/>
      <c r="CH15" s="1"/>
      <c r="CI15" s="1"/>
      <c r="CJ15" s="75"/>
      <c r="CK15" s="75"/>
      <c r="CL15" s="1">
        <f t="shared" si="1"/>
        <v>6629119</v>
      </c>
    </row>
    <row r="16" spans="1:91" ht="62.25" customHeight="1" x14ac:dyDescent="0.95">
      <c r="A16" s="2" t="s">
        <v>7</v>
      </c>
      <c r="B16" s="95" t="s">
        <v>104</v>
      </c>
      <c r="C16" s="95"/>
      <c r="D16" s="44"/>
      <c r="E16" s="44"/>
      <c r="F16" s="44"/>
      <c r="G16" s="44"/>
      <c r="H16" s="44"/>
      <c r="I16" s="44"/>
      <c r="J16" s="44"/>
      <c r="K16" s="47"/>
      <c r="L16" s="44"/>
      <c r="M16" s="45"/>
      <c r="N16" s="62">
        <v>9544000</v>
      </c>
      <c r="O16" s="62"/>
      <c r="P16" s="44"/>
      <c r="Q16" s="44"/>
      <c r="R16" s="44"/>
      <c r="S16" s="44"/>
      <c r="T16" s="44"/>
      <c r="U16" s="44"/>
      <c r="V16" s="44"/>
      <c r="W16" s="1">
        <f t="shared" si="0"/>
        <v>9544000</v>
      </c>
      <c r="X16" s="62"/>
      <c r="Y16" s="62"/>
      <c r="Z16" s="1"/>
      <c r="AA16" s="76">
        <v>2836711.54</v>
      </c>
      <c r="AB16" s="76"/>
      <c r="AC16" s="75"/>
      <c r="AD16" s="75"/>
      <c r="AE16" s="75"/>
      <c r="AF16" s="75"/>
      <c r="AG16" s="75"/>
      <c r="AH16" s="1">
        <f t="shared" si="2"/>
        <v>1479489</v>
      </c>
      <c r="AI16" s="1">
        <v>1479489</v>
      </c>
      <c r="AJ16" s="1"/>
      <c r="AK16" s="1"/>
      <c r="AL16" s="1">
        <f t="shared" si="3"/>
        <v>5558600</v>
      </c>
      <c r="AM16" s="1"/>
      <c r="AN16" s="1"/>
      <c r="AO16" s="1">
        <v>558600</v>
      </c>
      <c r="AP16" s="26"/>
      <c r="AQ16" s="1">
        <v>5000000</v>
      </c>
      <c r="AR16" s="1">
        <f t="shared" si="4"/>
        <v>3298484</v>
      </c>
      <c r="AS16" s="1">
        <f>2200910+124174</f>
        <v>2325084</v>
      </c>
      <c r="AT16" s="1">
        <f>1162225-188825</f>
        <v>973400</v>
      </c>
      <c r="AU16" s="1">
        <f t="shared" si="5"/>
        <v>11961685</v>
      </c>
      <c r="AV16" s="1">
        <f>11865079+96606</f>
        <v>11961685</v>
      </c>
      <c r="AW16" s="76"/>
      <c r="AX16" s="76"/>
      <c r="AY16" s="61"/>
      <c r="AZ16" s="1"/>
      <c r="BA16" s="1"/>
      <c r="BB16" s="62">
        <v>18833920</v>
      </c>
      <c r="BC16" s="62">
        <f t="shared" si="6"/>
        <v>0</v>
      </c>
      <c r="BD16" s="62"/>
      <c r="BE16" s="62"/>
      <c r="BF16" s="1">
        <v>3893097</v>
      </c>
      <c r="BG16" s="1">
        <v>3893097</v>
      </c>
      <c r="BH16" s="1">
        <f t="shared" si="7"/>
        <v>16996024</v>
      </c>
      <c r="BI16" s="1">
        <v>12055624</v>
      </c>
      <c r="BJ16" s="46">
        <v>4940400</v>
      </c>
      <c r="BK16" s="46"/>
      <c r="BL16" s="1"/>
      <c r="BM16" s="1"/>
      <c r="BN16" s="1"/>
      <c r="BO16" s="1"/>
      <c r="BP16" s="1"/>
      <c r="BQ16" s="1"/>
      <c r="BR16" s="1">
        <v>0</v>
      </c>
      <c r="BS16" s="1"/>
      <c r="BT16" s="1"/>
      <c r="BU16" s="1"/>
      <c r="BV16" s="62">
        <v>38707</v>
      </c>
      <c r="BW16" s="62"/>
      <c r="BX16" s="1">
        <v>354261</v>
      </c>
      <c r="BY16" s="1">
        <f>12665000+80000</f>
        <v>12745000</v>
      </c>
      <c r="BZ16" s="1">
        <v>3739098</v>
      </c>
      <c r="CA16" s="1"/>
      <c r="CB16" s="1"/>
      <c r="CC16" s="1"/>
      <c r="CD16" s="1"/>
      <c r="CE16" s="1"/>
      <c r="CF16" s="1"/>
      <c r="CG16" s="1">
        <v>30000000</v>
      </c>
      <c r="CH16" s="1"/>
      <c r="CI16" s="1"/>
      <c r="CJ16" s="75"/>
      <c r="CK16" s="75"/>
      <c r="CL16" s="1">
        <f t="shared" si="1"/>
        <v>111735076.53999999</v>
      </c>
    </row>
    <row r="17" spans="1:93" ht="62.25" customHeight="1" x14ac:dyDescent="0.95">
      <c r="A17" s="2" t="s">
        <v>8</v>
      </c>
      <c r="B17" s="95" t="s">
        <v>105</v>
      </c>
      <c r="C17" s="95"/>
      <c r="D17" s="44"/>
      <c r="E17" s="44"/>
      <c r="F17" s="44"/>
      <c r="G17" s="44"/>
      <c r="H17" s="44"/>
      <c r="I17" s="44"/>
      <c r="J17" s="44"/>
      <c r="K17" s="47">
        <v>110700</v>
      </c>
      <c r="L17" s="44"/>
      <c r="M17" s="45">
        <v>100000</v>
      </c>
      <c r="N17" s="44"/>
      <c r="O17" s="44"/>
      <c r="P17" s="44"/>
      <c r="Q17" s="44"/>
      <c r="R17" s="44"/>
      <c r="S17" s="44"/>
      <c r="T17" s="44"/>
      <c r="U17" s="44"/>
      <c r="V17" s="44"/>
      <c r="W17" s="1">
        <f t="shared" si="0"/>
        <v>210700</v>
      </c>
      <c r="X17" s="62"/>
      <c r="Y17" s="62"/>
      <c r="Z17" s="1"/>
      <c r="AA17" s="76"/>
      <c r="AB17" s="76"/>
      <c r="AC17" s="75"/>
      <c r="AD17" s="75"/>
      <c r="AE17" s="75"/>
      <c r="AF17" s="75"/>
      <c r="AG17" s="75"/>
      <c r="AH17" s="1">
        <f t="shared" si="2"/>
        <v>3881938</v>
      </c>
      <c r="AI17" s="1">
        <v>3881938</v>
      </c>
      <c r="AJ17" s="1"/>
      <c r="AK17" s="1"/>
      <c r="AL17" s="1">
        <f t="shared" si="3"/>
        <v>1241342.6499999999</v>
      </c>
      <c r="AM17" s="1">
        <v>27242.65</v>
      </c>
      <c r="AN17" s="1"/>
      <c r="AO17" s="1"/>
      <c r="AP17" s="26"/>
      <c r="AQ17" s="1">
        <v>1214100</v>
      </c>
      <c r="AR17" s="1">
        <f t="shared" si="4"/>
        <v>1137340</v>
      </c>
      <c r="AS17" s="1">
        <f>728384+61756</f>
        <v>790140</v>
      </c>
      <c r="AT17" s="1">
        <f>379528-32328</f>
        <v>347200</v>
      </c>
      <c r="AU17" s="1">
        <f t="shared" si="5"/>
        <v>2283715</v>
      </c>
      <c r="AV17" s="1">
        <f>2269504+14211</f>
        <v>2283715</v>
      </c>
      <c r="AW17" s="76"/>
      <c r="AX17" s="76"/>
      <c r="AY17" s="61"/>
      <c r="AZ17" s="1"/>
      <c r="BA17" s="1"/>
      <c r="BB17" s="62">
        <v>2354240</v>
      </c>
      <c r="BC17" s="62">
        <f t="shared" si="6"/>
        <v>0</v>
      </c>
      <c r="BD17" s="62"/>
      <c r="BE17" s="62"/>
      <c r="BF17" s="1">
        <v>751466</v>
      </c>
      <c r="BG17" s="1">
        <v>751466</v>
      </c>
      <c r="BH17" s="1">
        <f t="shared" si="7"/>
        <v>3654240</v>
      </c>
      <c r="BI17" s="1">
        <v>2327040</v>
      </c>
      <c r="BJ17" s="46">
        <v>1327200</v>
      </c>
      <c r="BK17" s="46"/>
      <c r="BL17" s="1"/>
      <c r="BM17" s="1"/>
      <c r="BN17" s="1"/>
      <c r="BO17" s="1"/>
      <c r="BP17" s="1"/>
      <c r="BQ17" s="1"/>
      <c r="BR17" s="1">
        <v>0</v>
      </c>
      <c r="BS17" s="1"/>
      <c r="BT17" s="1"/>
      <c r="BU17" s="1"/>
      <c r="BV17" s="62"/>
      <c r="BW17" s="62"/>
      <c r="BX17" s="1">
        <v>57139</v>
      </c>
      <c r="BY17" s="1">
        <f>2320000-50000-40000</f>
        <v>2230000</v>
      </c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75"/>
      <c r="CK17" s="75"/>
      <c r="CL17" s="1">
        <f t="shared" si="1"/>
        <v>17591420.650000002</v>
      </c>
    </row>
    <row r="18" spans="1:93" ht="62.25" customHeight="1" x14ac:dyDescent="0.95">
      <c r="A18" s="2" t="s">
        <v>9</v>
      </c>
      <c r="B18" s="95" t="s">
        <v>106</v>
      </c>
      <c r="C18" s="95"/>
      <c r="D18" s="44"/>
      <c r="E18" s="44"/>
      <c r="F18" s="44"/>
      <c r="G18" s="44"/>
      <c r="H18" s="44"/>
      <c r="I18" s="44"/>
      <c r="J18" s="44"/>
      <c r="K18" s="47"/>
      <c r="L18" s="44"/>
      <c r="M18" s="45">
        <v>100000</v>
      </c>
      <c r="N18" s="44"/>
      <c r="O18" s="44"/>
      <c r="P18" s="44"/>
      <c r="Q18" s="44"/>
      <c r="R18" s="44"/>
      <c r="S18" s="44"/>
      <c r="T18" s="44"/>
      <c r="U18" s="44"/>
      <c r="V18" s="62">
        <v>70500</v>
      </c>
      <c r="W18" s="1">
        <f t="shared" si="0"/>
        <v>170500</v>
      </c>
      <c r="X18" s="62"/>
      <c r="Y18" s="62">
        <v>15469302</v>
      </c>
      <c r="Z18" s="1"/>
      <c r="AA18" s="76">
        <v>1822282.56</v>
      </c>
      <c r="AB18" s="76"/>
      <c r="AC18" s="75"/>
      <c r="AD18" s="75"/>
      <c r="AE18" s="75"/>
      <c r="AF18" s="75"/>
      <c r="AG18" s="75"/>
      <c r="AH18" s="1">
        <f t="shared" si="2"/>
        <v>1364869</v>
      </c>
      <c r="AI18" s="1">
        <v>1364869</v>
      </c>
      <c r="AJ18" s="1"/>
      <c r="AK18" s="1"/>
      <c r="AL18" s="1">
        <f t="shared" si="3"/>
        <v>27242.65</v>
      </c>
      <c r="AM18" s="1">
        <v>27242.65</v>
      </c>
      <c r="AN18" s="1"/>
      <c r="AO18" s="1"/>
      <c r="AP18" s="26"/>
      <c r="AQ18" s="1"/>
      <c r="AR18" s="1">
        <f t="shared" si="4"/>
        <v>1298205</v>
      </c>
      <c r="AS18" s="1">
        <f>846462+61143</f>
        <v>907605</v>
      </c>
      <c r="AT18" s="1">
        <f>443679-53079</f>
        <v>390600</v>
      </c>
      <c r="AU18" s="1">
        <f t="shared" si="5"/>
        <v>1446614</v>
      </c>
      <c r="AV18" s="1">
        <f>1437649+8965</f>
        <v>1446614</v>
      </c>
      <c r="AW18" s="76"/>
      <c r="AX18" s="76"/>
      <c r="AY18" s="61"/>
      <c r="AZ18" s="1"/>
      <c r="BA18" s="1"/>
      <c r="BB18" s="62">
        <v>1660580</v>
      </c>
      <c r="BC18" s="62">
        <f t="shared" si="6"/>
        <v>0</v>
      </c>
      <c r="BD18" s="62"/>
      <c r="BE18" s="62"/>
      <c r="BF18" s="1">
        <v>446248</v>
      </c>
      <c r="BG18" s="1">
        <v>446248</v>
      </c>
      <c r="BH18" s="1">
        <f t="shared" si="7"/>
        <v>1850381</v>
      </c>
      <c r="BI18" s="1">
        <v>1381881</v>
      </c>
      <c r="BJ18" s="46">
        <v>468500</v>
      </c>
      <c r="BK18" s="46"/>
      <c r="BL18" s="1"/>
      <c r="BM18" s="1"/>
      <c r="BN18" s="1"/>
      <c r="BO18" s="1"/>
      <c r="BP18" s="1"/>
      <c r="BQ18" s="1"/>
      <c r="BR18" s="1">
        <v>0</v>
      </c>
      <c r="BS18" s="1"/>
      <c r="BT18" s="1"/>
      <c r="BU18" s="1"/>
      <c r="BV18" s="62"/>
      <c r="BW18" s="62"/>
      <c r="BX18" s="1">
        <v>35162</v>
      </c>
      <c r="BY18" s="1">
        <f>1190000-10000+60000</f>
        <v>1240000</v>
      </c>
      <c r="BZ18" s="1"/>
      <c r="CA18" s="1"/>
      <c r="CB18" s="1"/>
      <c r="CC18" s="1">
        <v>55000</v>
      </c>
      <c r="CD18" s="1"/>
      <c r="CE18" s="1"/>
      <c r="CF18" s="1"/>
      <c r="CG18" s="1"/>
      <c r="CH18" s="1"/>
      <c r="CI18" s="1"/>
      <c r="CJ18" s="75"/>
      <c r="CK18" s="75"/>
      <c r="CL18" s="1">
        <f t="shared" si="1"/>
        <v>26715886.209999997</v>
      </c>
    </row>
    <row r="19" spans="1:93" ht="62.25" customHeight="1" x14ac:dyDescent="0.95">
      <c r="A19" s="2" t="s">
        <v>10</v>
      </c>
      <c r="B19" s="95" t="s">
        <v>107</v>
      </c>
      <c r="C19" s="95"/>
      <c r="D19" s="44"/>
      <c r="E19" s="44"/>
      <c r="F19" s="44"/>
      <c r="G19" s="44"/>
      <c r="H19" s="44"/>
      <c r="I19" s="44"/>
      <c r="J19" s="44"/>
      <c r="K19" s="1">
        <v>105200</v>
      </c>
      <c r="L19" s="44"/>
      <c r="M19" s="45"/>
      <c r="N19" s="44"/>
      <c r="O19" s="44"/>
      <c r="P19" s="44"/>
      <c r="Q19" s="44"/>
      <c r="R19" s="62">
        <v>2500000</v>
      </c>
      <c r="S19" s="62"/>
      <c r="T19" s="44"/>
      <c r="U19" s="44"/>
      <c r="V19" s="44"/>
      <c r="W19" s="1">
        <f t="shared" si="0"/>
        <v>2605200</v>
      </c>
      <c r="X19" s="62"/>
      <c r="Y19" s="62"/>
      <c r="Z19" s="1"/>
      <c r="AA19" s="76">
        <v>1353299.85</v>
      </c>
      <c r="AB19" s="76"/>
      <c r="AC19" s="75"/>
      <c r="AD19" s="75"/>
      <c r="AE19" s="75"/>
      <c r="AF19" s="75"/>
      <c r="AG19" s="75"/>
      <c r="AH19" s="1">
        <f t="shared" si="2"/>
        <v>2010858</v>
      </c>
      <c r="AI19" s="1">
        <v>2010858</v>
      </c>
      <c r="AJ19" s="1"/>
      <c r="AK19" s="1"/>
      <c r="AL19" s="1">
        <f t="shared" si="3"/>
        <v>27242.65</v>
      </c>
      <c r="AM19" s="1">
        <v>27242.65</v>
      </c>
      <c r="AN19" s="1"/>
      <c r="AO19" s="1"/>
      <c r="AP19" s="26"/>
      <c r="AQ19" s="1"/>
      <c r="AR19" s="1">
        <f t="shared" si="4"/>
        <v>2176140</v>
      </c>
      <c r="AS19" s="1">
        <f>1428790+96350</f>
        <v>1525140</v>
      </c>
      <c r="AT19" s="1">
        <f>750605-99605</f>
        <v>651000</v>
      </c>
      <c r="AU19" s="1">
        <f t="shared" si="5"/>
        <v>2138386</v>
      </c>
      <c r="AV19" s="1">
        <f>1951479+12082</f>
        <v>1963561</v>
      </c>
      <c r="AW19" s="76">
        <v>174825</v>
      </c>
      <c r="AX19" s="76"/>
      <c r="AY19" s="61"/>
      <c r="AZ19" s="1"/>
      <c r="BA19" s="1"/>
      <c r="BB19" s="62">
        <v>3089940</v>
      </c>
      <c r="BC19" s="62">
        <f t="shared" si="6"/>
        <v>0</v>
      </c>
      <c r="BD19" s="62"/>
      <c r="BE19" s="62"/>
      <c r="BF19" s="1">
        <v>828296</v>
      </c>
      <c r="BG19" s="1">
        <v>828296</v>
      </c>
      <c r="BH19" s="1">
        <f t="shared" si="7"/>
        <v>4667157</v>
      </c>
      <c r="BI19" s="1">
        <v>2564957</v>
      </c>
      <c r="BJ19" s="46">
        <v>2102200</v>
      </c>
      <c r="BK19" s="46"/>
      <c r="BL19" s="1"/>
      <c r="BM19" s="1"/>
      <c r="BN19" s="1"/>
      <c r="BO19" s="1"/>
      <c r="BP19" s="1"/>
      <c r="BQ19" s="1"/>
      <c r="BR19" s="1">
        <v>0</v>
      </c>
      <c r="BS19" s="1"/>
      <c r="BT19" s="1"/>
      <c r="BU19" s="1"/>
      <c r="BV19" s="62"/>
      <c r="BW19" s="62"/>
      <c r="BX19" s="1">
        <v>43953</v>
      </c>
      <c r="BY19" s="1">
        <v>2800000</v>
      </c>
      <c r="BZ19" s="1"/>
      <c r="CA19" s="1"/>
      <c r="CB19" s="1"/>
      <c r="CC19" s="1">
        <v>40000</v>
      </c>
      <c r="CD19" s="1"/>
      <c r="CE19" s="1"/>
      <c r="CF19" s="1"/>
      <c r="CG19" s="1"/>
      <c r="CH19" s="1"/>
      <c r="CI19" s="1"/>
      <c r="CJ19" s="75"/>
      <c r="CK19" s="75"/>
      <c r="CL19" s="1">
        <f t="shared" si="1"/>
        <v>19175272.5</v>
      </c>
    </row>
    <row r="20" spans="1:93" ht="62.25" customHeight="1" x14ac:dyDescent="0.95">
      <c r="A20" s="2" t="s">
        <v>11</v>
      </c>
      <c r="B20" s="95" t="s">
        <v>108</v>
      </c>
      <c r="C20" s="95"/>
      <c r="D20" s="44"/>
      <c r="E20" s="44"/>
      <c r="F20" s="44"/>
      <c r="G20" s="44"/>
      <c r="H20" s="44"/>
      <c r="I20" s="44"/>
      <c r="J20" s="44"/>
      <c r="K20" s="1">
        <v>29000</v>
      </c>
      <c r="L20" s="44"/>
      <c r="M20" s="45"/>
      <c r="N20" s="44"/>
      <c r="O20" s="44"/>
      <c r="P20" s="44"/>
      <c r="Q20" s="44"/>
      <c r="R20" s="44"/>
      <c r="S20" s="44"/>
      <c r="T20" s="44"/>
      <c r="U20" s="44"/>
      <c r="V20" s="44"/>
      <c r="W20" s="1">
        <f t="shared" si="0"/>
        <v>29000</v>
      </c>
      <c r="X20" s="62"/>
      <c r="Y20" s="62"/>
      <c r="Z20" s="1"/>
      <c r="AA20" s="76"/>
      <c r="AB20" s="76"/>
      <c r="AC20" s="75"/>
      <c r="AD20" s="75"/>
      <c r="AE20" s="75"/>
      <c r="AF20" s="75"/>
      <c r="AG20" s="75"/>
      <c r="AH20" s="1">
        <f t="shared" si="2"/>
        <v>1406825</v>
      </c>
      <c r="AI20" s="1">
        <v>1406825</v>
      </c>
      <c r="AJ20" s="1"/>
      <c r="AK20" s="1"/>
      <c r="AL20" s="1">
        <f t="shared" si="3"/>
        <v>0</v>
      </c>
      <c r="AM20" s="1"/>
      <c r="AN20" s="1"/>
      <c r="AO20" s="1"/>
      <c r="AP20" s="26"/>
      <c r="AQ20" s="1"/>
      <c r="AR20" s="1">
        <f t="shared" si="4"/>
        <v>805600</v>
      </c>
      <c r="AS20" s="1">
        <f>543172+26828</f>
        <v>570000</v>
      </c>
      <c r="AT20" s="1">
        <f>287774-52174</f>
        <v>235600</v>
      </c>
      <c r="AU20" s="1">
        <f t="shared" si="5"/>
        <v>516988</v>
      </c>
      <c r="AV20" s="1">
        <f>513802+3186</f>
        <v>516988</v>
      </c>
      <c r="AW20" s="76"/>
      <c r="AX20" s="76"/>
      <c r="AY20" s="61"/>
      <c r="AZ20" s="1"/>
      <c r="BA20" s="1"/>
      <c r="BB20" s="62">
        <v>651620</v>
      </c>
      <c r="BC20" s="62">
        <f t="shared" si="6"/>
        <v>0</v>
      </c>
      <c r="BD20" s="62"/>
      <c r="BE20" s="62"/>
      <c r="BF20" s="1">
        <v>188393</v>
      </c>
      <c r="BG20" s="1">
        <v>188393</v>
      </c>
      <c r="BH20" s="1">
        <f t="shared" si="7"/>
        <v>1826190</v>
      </c>
      <c r="BI20" s="1">
        <v>583390</v>
      </c>
      <c r="BJ20" s="46">
        <v>1242800</v>
      </c>
      <c r="BK20" s="46"/>
      <c r="BL20" s="1"/>
      <c r="BM20" s="1"/>
      <c r="BN20" s="1"/>
      <c r="BO20" s="1"/>
      <c r="BP20" s="1"/>
      <c r="BQ20" s="1"/>
      <c r="BR20" s="1">
        <v>0</v>
      </c>
      <c r="BS20" s="1"/>
      <c r="BT20" s="1"/>
      <c r="BU20" s="1"/>
      <c r="BV20" s="62">
        <v>6810</v>
      </c>
      <c r="BW20" s="62"/>
      <c r="BX20" s="1">
        <v>11867</v>
      </c>
      <c r="BY20" s="1">
        <v>750000</v>
      </c>
      <c r="BZ20" s="1">
        <f>174527</f>
        <v>174527</v>
      </c>
      <c r="CA20" s="1"/>
      <c r="CB20" s="1"/>
      <c r="CC20" s="1"/>
      <c r="CD20" s="1"/>
      <c r="CE20" s="1"/>
      <c r="CF20" s="1"/>
      <c r="CG20" s="1"/>
      <c r="CH20" s="1"/>
      <c r="CI20" s="1"/>
      <c r="CJ20" s="75"/>
      <c r="CK20" s="75"/>
      <c r="CL20" s="1">
        <f t="shared" si="1"/>
        <v>6338820</v>
      </c>
    </row>
    <row r="21" spans="1:93" ht="62.25" customHeight="1" x14ac:dyDescent="0.95">
      <c r="A21" s="2" t="s">
        <v>12</v>
      </c>
      <c r="B21" s="95" t="s">
        <v>109</v>
      </c>
      <c r="C21" s="95"/>
      <c r="D21" s="44"/>
      <c r="E21" s="44"/>
      <c r="F21" s="44"/>
      <c r="G21" s="44"/>
      <c r="H21" s="44"/>
      <c r="I21" s="44"/>
      <c r="J21" s="44"/>
      <c r="K21" s="47"/>
      <c r="L21" s="44"/>
      <c r="M21" s="45"/>
      <c r="N21" s="44"/>
      <c r="O21" s="44"/>
      <c r="P21" s="44"/>
      <c r="Q21" s="44"/>
      <c r="R21" s="44"/>
      <c r="S21" s="44"/>
      <c r="T21" s="44"/>
      <c r="U21" s="44"/>
      <c r="V21" s="62">
        <v>30600</v>
      </c>
      <c r="W21" s="1">
        <f t="shared" si="0"/>
        <v>30600</v>
      </c>
      <c r="X21" s="62"/>
      <c r="Y21" s="62">
        <v>7900087</v>
      </c>
      <c r="Z21" s="1"/>
      <c r="AA21" s="76"/>
      <c r="AB21" s="76"/>
      <c r="AC21" s="75"/>
      <c r="AD21" s="75"/>
      <c r="AE21" s="75"/>
      <c r="AF21" s="75"/>
      <c r="AG21" s="75"/>
      <c r="AH21" s="1">
        <f t="shared" si="2"/>
        <v>995532</v>
      </c>
      <c r="AI21" s="1">
        <v>995532</v>
      </c>
      <c r="AJ21" s="1"/>
      <c r="AK21" s="1"/>
      <c r="AL21" s="1">
        <f t="shared" si="3"/>
        <v>0</v>
      </c>
      <c r="AM21" s="1"/>
      <c r="AN21" s="1"/>
      <c r="AO21" s="1"/>
      <c r="AP21" s="26"/>
      <c r="AQ21" s="1"/>
      <c r="AR21" s="1">
        <f t="shared" si="4"/>
        <v>678400</v>
      </c>
      <c r="AS21" s="1">
        <f>457408+22592</f>
        <v>480000</v>
      </c>
      <c r="AT21" s="1">
        <f>242336-43936</f>
        <v>198400</v>
      </c>
      <c r="AU21" s="1">
        <f t="shared" si="5"/>
        <v>637640</v>
      </c>
      <c r="AV21" s="1">
        <f>633698+3942</f>
        <v>637640</v>
      </c>
      <c r="AW21" s="76"/>
      <c r="AX21" s="76"/>
      <c r="AY21" s="61"/>
      <c r="AZ21" s="1"/>
      <c r="BA21" s="1"/>
      <c r="BB21" s="62">
        <v>714680</v>
      </c>
      <c r="BC21" s="62">
        <f t="shared" si="6"/>
        <v>0</v>
      </c>
      <c r="BD21" s="62"/>
      <c r="BE21" s="62"/>
      <c r="BF21" s="1">
        <v>385205</v>
      </c>
      <c r="BG21" s="1">
        <v>385205</v>
      </c>
      <c r="BH21" s="1">
        <f t="shared" si="7"/>
        <v>1192851</v>
      </c>
      <c r="BI21" s="1">
        <v>1192851</v>
      </c>
      <c r="BJ21" s="46">
        <v>0</v>
      </c>
      <c r="BK21" s="46"/>
      <c r="BL21" s="1"/>
      <c r="BM21" s="1"/>
      <c r="BN21" s="1"/>
      <c r="BO21" s="1"/>
      <c r="BP21" s="1"/>
      <c r="BQ21" s="1"/>
      <c r="BR21" s="1">
        <v>0</v>
      </c>
      <c r="BS21" s="62"/>
      <c r="BT21" s="62"/>
      <c r="BU21" s="62"/>
      <c r="BV21" s="62">
        <v>4588</v>
      </c>
      <c r="BW21" s="62"/>
      <c r="BX21" s="1">
        <v>13186</v>
      </c>
      <c r="BY21" s="1">
        <f>800000+180000</f>
        <v>980000</v>
      </c>
      <c r="BZ21" s="1"/>
      <c r="CA21" s="1"/>
      <c r="CB21" s="1"/>
      <c r="CC21" s="1"/>
      <c r="CD21" s="1"/>
      <c r="CE21" s="1"/>
      <c r="CF21" s="1">
        <v>600000</v>
      </c>
      <c r="CG21" s="1"/>
      <c r="CH21" s="1"/>
      <c r="CI21" s="1"/>
      <c r="CJ21" s="75"/>
      <c r="CK21" s="75"/>
      <c r="CL21" s="1">
        <f t="shared" si="1"/>
        <v>14102169</v>
      </c>
    </row>
    <row r="22" spans="1:93" ht="62.25" customHeight="1" x14ac:dyDescent="0.95">
      <c r="A22" s="2" t="s">
        <v>13</v>
      </c>
      <c r="B22" s="95" t="s">
        <v>110</v>
      </c>
      <c r="C22" s="95"/>
      <c r="D22" s="44"/>
      <c r="E22" s="44"/>
      <c r="F22" s="44"/>
      <c r="G22" s="44"/>
      <c r="H22" s="44"/>
      <c r="I22" s="44"/>
      <c r="J22" s="44"/>
      <c r="K22" s="1">
        <v>27900</v>
      </c>
      <c r="L22" s="44"/>
      <c r="M22" s="45">
        <v>100000</v>
      </c>
      <c r="N22" s="44"/>
      <c r="O22" s="44"/>
      <c r="P22" s="44"/>
      <c r="Q22" s="44"/>
      <c r="R22" s="44"/>
      <c r="S22" s="44"/>
      <c r="T22" s="44"/>
      <c r="U22" s="44"/>
      <c r="V22" s="44"/>
      <c r="W22" s="1">
        <f t="shared" si="0"/>
        <v>127900</v>
      </c>
      <c r="X22" s="62"/>
      <c r="Y22" s="62"/>
      <c r="Z22" s="1"/>
      <c r="AA22" s="76"/>
      <c r="AB22" s="76"/>
      <c r="AC22" s="75"/>
      <c r="AD22" s="75"/>
      <c r="AE22" s="75"/>
      <c r="AF22" s="75"/>
      <c r="AG22" s="75"/>
      <c r="AH22" s="1">
        <f t="shared" si="2"/>
        <v>743883</v>
      </c>
      <c r="AI22" s="1">
        <v>743883</v>
      </c>
      <c r="AJ22" s="1"/>
      <c r="AK22" s="1"/>
      <c r="AL22" s="1">
        <f t="shared" si="3"/>
        <v>54485.3</v>
      </c>
      <c r="AM22" s="1">
        <v>54485.3</v>
      </c>
      <c r="AN22" s="1"/>
      <c r="AO22" s="1"/>
      <c r="AP22" s="26"/>
      <c r="AQ22" s="1"/>
      <c r="AR22" s="1">
        <f t="shared" si="4"/>
        <v>318000</v>
      </c>
      <c r="AS22" s="1">
        <f>214410+10590</f>
        <v>225000</v>
      </c>
      <c r="AT22" s="1">
        <f>113595-20595</f>
        <v>93000</v>
      </c>
      <c r="AU22" s="1">
        <f t="shared" si="5"/>
        <v>524579</v>
      </c>
      <c r="AV22" s="1">
        <f>521351+3228</f>
        <v>524579</v>
      </c>
      <c r="AW22" s="76"/>
      <c r="AX22" s="76"/>
      <c r="AY22" s="61"/>
      <c r="AZ22" s="1"/>
      <c r="BA22" s="1"/>
      <c r="BB22" s="62">
        <v>840800</v>
      </c>
      <c r="BC22" s="62">
        <f t="shared" si="6"/>
        <v>0</v>
      </c>
      <c r="BD22" s="62"/>
      <c r="BE22" s="62"/>
      <c r="BF22" s="1">
        <v>183130</v>
      </c>
      <c r="BG22" s="1">
        <v>183130</v>
      </c>
      <c r="BH22" s="1">
        <f t="shared" si="7"/>
        <v>1574793</v>
      </c>
      <c r="BI22" s="1">
        <v>567093</v>
      </c>
      <c r="BJ22" s="46">
        <v>1007700</v>
      </c>
      <c r="BK22" s="46"/>
      <c r="BL22" s="1"/>
      <c r="BM22" s="1"/>
      <c r="BN22" s="1"/>
      <c r="BO22" s="1"/>
      <c r="BP22" s="1"/>
      <c r="BQ22" s="1"/>
      <c r="BR22" s="1">
        <v>0</v>
      </c>
      <c r="BS22" s="1"/>
      <c r="BT22" s="1"/>
      <c r="BU22" s="1"/>
      <c r="BV22" s="62"/>
      <c r="BW22" s="62"/>
      <c r="BX22" s="1">
        <v>9230</v>
      </c>
      <c r="BY22" s="1">
        <v>450000</v>
      </c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75"/>
      <c r="CK22" s="75"/>
      <c r="CL22" s="1">
        <f t="shared" si="1"/>
        <v>4698900.3</v>
      </c>
    </row>
    <row r="23" spans="1:93" ht="73.5" customHeight="1" x14ac:dyDescent="0.95">
      <c r="A23" s="2"/>
      <c r="B23" s="95" t="s">
        <v>191</v>
      </c>
      <c r="C23" s="95"/>
      <c r="D23" s="62">
        <f t="shared" ref="D23:I23" si="8">SUM(D12:D22)</f>
        <v>0</v>
      </c>
      <c r="E23" s="62">
        <f t="shared" si="8"/>
        <v>5000000</v>
      </c>
      <c r="F23" s="62">
        <f t="shared" si="8"/>
        <v>0</v>
      </c>
      <c r="G23" s="62">
        <f t="shared" si="8"/>
        <v>0</v>
      </c>
      <c r="H23" s="62">
        <f t="shared" si="8"/>
        <v>0</v>
      </c>
      <c r="I23" s="62">
        <f t="shared" si="8"/>
        <v>0</v>
      </c>
      <c r="J23" s="62">
        <f t="shared" ref="J23:Y23" si="9">SUM(J12:J22)</f>
        <v>2150000</v>
      </c>
      <c r="K23" s="1">
        <f>SUM(K12:K22)</f>
        <v>340700</v>
      </c>
      <c r="L23" s="62">
        <f t="shared" ref="L23:M23" si="10">SUM(L12:L22)</f>
        <v>0</v>
      </c>
      <c r="M23" s="62">
        <f t="shared" si="10"/>
        <v>300000</v>
      </c>
      <c r="N23" s="62">
        <f>SUM(N13:N22)</f>
        <v>9544000</v>
      </c>
      <c r="O23" s="62">
        <f>SUM(O13:O22)</f>
        <v>1210394</v>
      </c>
      <c r="P23" s="62">
        <f>SUM(P13:P22)</f>
        <v>0</v>
      </c>
      <c r="Q23" s="62">
        <f>SUM(Q13:Q22)</f>
        <v>500000</v>
      </c>
      <c r="R23" s="62">
        <f t="shared" ref="R23:T23" si="11">SUM(R13:R22)</f>
        <v>2500000</v>
      </c>
      <c r="S23" s="62"/>
      <c r="T23" s="62">
        <f t="shared" si="11"/>
        <v>0</v>
      </c>
      <c r="U23" s="62">
        <f>SUM(U13:U22)</f>
        <v>484163</v>
      </c>
      <c r="V23" s="62">
        <f>SUM(V13:V22)</f>
        <v>101100</v>
      </c>
      <c r="W23" s="1">
        <f t="shared" si="0"/>
        <v>22130357</v>
      </c>
      <c r="X23" s="62">
        <f t="shared" si="9"/>
        <v>0</v>
      </c>
      <c r="Y23" s="62">
        <f t="shared" si="9"/>
        <v>23369389</v>
      </c>
      <c r="Z23" s="62">
        <f t="shared" ref="Z23" si="12">SUM(Z12:Z22)</f>
        <v>0</v>
      </c>
      <c r="AA23" s="76">
        <f>SUM(AA12:AB22)</f>
        <v>12683149.75</v>
      </c>
      <c r="AB23" s="76"/>
      <c r="AC23" s="76">
        <f>SUM(AC12:AC22)</f>
        <v>8074724.9000000004</v>
      </c>
      <c r="AD23" s="76"/>
      <c r="AE23" s="76"/>
      <c r="AF23" s="76">
        <f>SUM(AF12:AG22)</f>
        <v>1042348</v>
      </c>
      <c r="AG23" s="76"/>
      <c r="AH23" s="62">
        <f t="shared" ref="AH23:AQ23" si="13">SUM(AH12:AH22)</f>
        <v>28171797</v>
      </c>
      <c r="AI23" s="62">
        <f t="shared" si="13"/>
        <v>21489347</v>
      </c>
      <c r="AJ23" s="62">
        <f t="shared" si="13"/>
        <v>6682450</v>
      </c>
      <c r="AK23" s="62"/>
      <c r="AL23" s="62">
        <f t="shared" si="13"/>
        <v>14611308.530000003</v>
      </c>
      <c r="AM23" s="62">
        <f t="shared" si="13"/>
        <v>326908.75</v>
      </c>
      <c r="AN23" s="62">
        <f t="shared" si="13"/>
        <v>0</v>
      </c>
      <c r="AO23" s="62">
        <f t="shared" si="13"/>
        <v>1276799.78</v>
      </c>
      <c r="AP23" s="62">
        <f t="shared" si="13"/>
        <v>0</v>
      </c>
      <c r="AQ23" s="62">
        <f t="shared" si="13"/>
        <v>13007600</v>
      </c>
      <c r="AR23" s="62">
        <f>SUM(AR12:AR22)</f>
        <v>22660722</v>
      </c>
      <c r="AS23" s="62">
        <f t="shared" ref="AS23:BB23" si="14">SUM(AS12:AS22)</f>
        <v>15922722</v>
      </c>
      <c r="AT23" s="62">
        <f t="shared" si="14"/>
        <v>6738000</v>
      </c>
      <c r="AU23" s="62">
        <f t="shared" si="14"/>
        <v>41640509</v>
      </c>
      <c r="AV23" s="62">
        <f t="shared" si="14"/>
        <v>41116034</v>
      </c>
      <c r="AW23" s="76">
        <f>SUM(AW12:AX22)</f>
        <v>524475</v>
      </c>
      <c r="AX23" s="76"/>
      <c r="AY23" s="62">
        <f t="shared" si="14"/>
        <v>0</v>
      </c>
      <c r="AZ23" s="62">
        <f t="shared" si="14"/>
        <v>0</v>
      </c>
      <c r="BA23" s="62"/>
      <c r="BB23" s="62">
        <f t="shared" si="14"/>
        <v>59255380</v>
      </c>
      <c r="BC23" s="62">
        <f t="shared" si="6"/>
        <v>0</v>
      </c>
      <c r="BD23" s="62"/>
      <c r="BE23" s="62"/>
      <c r="BF23" s="62">
        <f>SUM(BF12:BF22)</f>
        <v>15586070</v>
      </c>
      <c r="BG23" s="62">
        <f t="shared" ref="BG23:CI23" si="15">SUM(BG12:BG22)</f>
        <v>15586070</v>
      </c>
      <c r="BH23" s="1">
        <f t="shared" si="7"/>
        <v>74477178</v>
      </c>
      <c r="BI23" s="62">
        <f t="shared" si="15"/>
        <v>48284178</v>
      </c>
      <c r="BJ23" s="62">
        <f t="shared" si="15"/>
        <v>26193000</v>
      </c>
      <c r="BK23" s="62">
        <f t="shared" si="15"/>
        <v>10000000</v>
      </c>
      <c r="BL23" s="62">
        <f t="shared" si="15"/>
        <v>0</v>
      </c>
      <c r="BM23" s="62">
        <f t="shared" si="15"/>
        <v>0</v>
      </c>
      <c r="BN23" s="62">
        <f t="shared" si="15"/>
        <v>0</v>
      </c>
      <c r="BO23" s="62">
        <f t="shared" ref="BO23" si="16">SUM(BO12:BO22)</f>
        <v>0</v>
      </c>
      <c r="BP23" s="62">
        <f t="shared" si="15"/>
        <v>0</v>
      </c>
      <c r="BQ23" s="62">
        <f t="shared" si="15"/>
        <v>0</v>
      </c>
      <c r="BR23" s="62">
        <v>0</v>
      </c>
      <c r="BS23" s="62">
        <f t="shared" si="15"/>
        <v>0</v>
      </c>
      <c r="BT23" s="62">
        <f t="shared" si="15"/>
        <v>0</v>
      </c>
      <c r="BU23" s="62"/>
      <c r="BV23" s="62">
        <f t="shared" ref="BV23:BW23" si="17">SUM(BV12:BV22)</f>
        <v>50105</v>
      </c>
      <c r="BW23" s="62">
        <f t="shared" si="17"/>
        <v>30000000</v>
      </c>
      <c r="BX23" s="62">
        <f t="shared" ref="BX23" si="18">SUM(BX12:BX22)</f>
        <v>1307612</v>
      </c>
      <c r="BY23" s="62">
        <f t="shared" si="15"/>
        <v>39587170</v>
      </c>
      <c r="BZ23" s="62">
        <f t="shared" si="15"/>
        <v>9371634</v>
      </c>
      <c r="CA23" s="62">
        <f t="shared" si="15"/>
        <v>0</v>
      </c>
      <c r="CB23" s="62">
        <f t="shared" si="15"/>
        <v>0</v>
      </c>
      <c r="CC23" s="62">
        <f t="shared" si="15"/>
        <v>824500</v>
      </c>
      <c r="CD23" s="62">
        <f t="shared" si="15"/>
        <v>0</v>
      </c>
      <c r="CE23" s="62"/>
      <c r="CF23" s="62">
        <f t="shared" si="15"/>
        <v>1200000</v>
      </c>
      <c r="CG23" s="62">
        <f t="shared" si="15"/>
        <v>30000000</v>
      </c>
      <c r="CH23" s="62">
        <f t="shared" si="15"/>
        <v>0</v>
      </c>
      <c r="CI23" s="62">
        <f t="shared" si="15"/>
        <v>0</v>
      </c>
      <c r="CJ23" s="75"/>
      <c r="CK23" s="75"/>
      <c r="CL23" s="1">
        <f t="shared" si="1"/>
        <v>423913597.18000007</v>
      </c>
    </row>
    <row r="24" spans="1:93" ht="71.25" customHeight="1" x14ac:dyDescent="0.95">
      <c r="A24" s="2" t="s">
        <v>14</v>
      </c>
      <c r="B24" s="95" t="s">
        <v>132</v>
      </c>
      <c r="C24" s="95"/>
      <c r="D24" s="44"/>
      <c r="E24" s="44"/>
      <c r="F24" s="44"/>
      <c r="G24" s="35"/>
      <c r="H24" s="35"/>
      <c r="I24" s="44"/>
      <c r="J24" s="44"/>
      <c r="K24" s="47"/>
      <c r="L24" s="44"/>
      <c r="M24" s="45"/>
      <c r="N24" s="44"/>
      <c r="O24" s="44"/>
      <c r="P24" s="44"/>
      <c r="Q24" s="44"/>
      <c r="R24" s="44"/>
      <c r="S24" s="62"/>
      <c r="T24" s="44"/>
      <c r="U24" s="44"/>
      <c r="V24" s="44"/>
      <c r="W24" s="1">
        <f t="shared" si="0"/>
        <v>0</v>
      </c>
      <c r="X24" s="62"/>
      <c r="Y24" s="62"/>
      <c r="Z24" s="1"/>
      <c r="AA24" s="76"/>
      <c r="AB24" s="76"/>
      <c r="AC24" s="75"/>
      <c r="AD24" s="75"/>
      <c r="AE24" s="75"/>
      <c r="AF24" s="75"/>
      <c r="AG24" s="75"/>
      <c r="AH24" s="1">
        <f>AI24+AJ24</f>
        <v>0</v>
      </c>
      <c r="AI24" s="1"/>
      <c r="AJ24" s="1"/>
      <c r="AK24" s="1"/>
      <c r="AL24" s="1">
        <f t="shared" si="3"/>
        <v>0</v>
      </c>
      <c r="AM24" s="1"/>
      <c r="AN24" s="1"/>
      <c r="AO24" s="1"/>
      <c r="AP24" s="1"/>
      <c r="AQ24" s="1"/>
      <c r="AR24" s="1">
        <f t="shared" si="4"/>
        <v>0</v>
      </c>
      <c r="AS24" s="1"/>
      <c r="AT24" s="1"/>
      <c r="AU24" s="1">
        <f t="shared" ref="AU24:AU44" si="19">AV24+AW24+AY24</f>
        <v>0</v>
      </c>
      <c r="AV24" s="26"/>
      <c r="AW24" s="76"/>
      <c r="AX24" s="76"/>
      <c r="AY24" s="61"/>
      <c r="AZ24" s="1"/>
      <c r="BA24" s="1"/>
      <c r="BB24" s="1"/>
      <c r="BC24" s="62">
        <f t="shared" si="6"/>
        <v>0</v>
      </c>
      <c r="BD24" s="1"/>
      <c r="BE24" s="1"/>
      <c r="BF24" s="1"/>
      <c r="BG24" s="1"/>
      <c r="BH24" s="1">
        <f t="shared" si="7"/>
        <v>0</v>
      </c>
      <c r="BI24" s="1"/>
      <c r="BJ24" s="1"/>
      <c r="BK24" s="1"/>
      <c r="BL24" s="1"/>
      <c r="BM24" s="1"/>
      <c r="BN24" s="1"/>
      <c r="BO24" s="1"/>
      <c r="BP24" s="1"/>
      <c r="BQ24" s="1"/>
      <c r="BR24" s="1">
        <v>0</v>
      </c>
      <c r="BS24" s="1"/>
      <c r="BT24" s="1"/>
      <c r="BU24" s="1"/>
      <c r="BV24" s="62">
        <v>200000</v>
      </c>
      <c r="BW24" s="62"/>
      <c r="BX24" s="1">
        <v>22856</v>
      </c>
      <c r="BY24" s="1">
        <f>80000-35000</f>
        <v>45000</v>
      </c>
      <c r="BZ24" s="1"/>
      <c r="CA24" s="1">
        <v>3950</v>
      </c>
      <c r="CB24" s="1"/>
      <c r="CC24" s="1"/>
      <c r="CD24" s="1"/>
      <c r="CE24" s="1"/>
      <c r="CF24" s="1"/>
      <c r="CG24" s="1"/>
      <c r="CH24" s="1"/>
      <c r="CI24" s="1"/>
      <c r="CJ24" s="75"/>
      <c r="CK24" s="75"/>
      <c r="CL24" s="1">
        <f t="shared" si="1"/>
        <v>271806</v>
      </c>
      <c r="CN24" s="34"/>
      <c r="CO24" s="25"/>
    </row>
    <row r="25" spans="1:93" ht="71.25" customHeight="1" x14ac:dyDescent="0.95">
      <c r="A25" s="2" t="s">
        <v>15</v>
      </c>
      <c r="B25" s="95" t="s">
        <v>111</v>
      </c>
      <c r="C25" s="95"/>
      <c r="D25" s="44"/>
      <c r="E25" s="44"/>
      <c r="F25" s="44"/>
      <c r="G25" s="44"/>
      <c r="H25" s="44"/>
      <c r="I25" s="44"/>
      <c r="J25" s="44"/>
      <c r="K25" s="47">
        <v>7600</v>
      </c>
      <c r="L25" s="44"/>
      <c r="M25" s="45"/>
      <c r="N25" s="44"/>
      <c r="O25" s="44"/>
      <c r="P25" s="44"/>
      <c r="Q25" s="44"/>
      <c r="R25" s="44"/>
      <c r="S25" s="62"/>
      <c r="T25" s="44"/>
      <c r="U25" s="44"/>
      <c r="V25" s="44"/>
      <c r="W25" s="1">
        <f t="shared" si="0"/>
        <v>7600</v>
      </c>
      <c r="X25" s="62"/>
      <c r="Y25" s="62">
        <f>2445596+407552</f>
        <v>2853148</v>
      </c>
      <c r="Z25" s="1"/>
      <c r="AA25" s="76"/>
      <c r="AB25" s="76"/>
      <c r="AC25" s="75"/>
      <c r="AD25" s="75"/>
      <c r="AE25" s="75"/>
      <c r="AF25" s="75"/>
      <c r="AG25" s="75"/>
      <c r="AH25" s="1">
        <f t="shared" ref="AH25:AH41" si="20">AI25+AJ25+AK25</f>
        <v>0</v>
      </c>
      <c r="AI25" s="1"/>
      <c r="AJ25" s="1"/>
      <c r="AK25" s="1"/>
      <c r="AL25" s="1">
        <f t="shared" si="3"/>
        <v>0</v>
      </c>
      <c r="AM25" s="1"/>
      <c r="AN25" s="1"/>
      <c r="AO25" s="1"/>
      <c r="AP25" s="1"/>
      <c r="AQ25" s="1"/>
      <c r="AR25" s="1">
        <f t="shared" si="4"/>
        <v>21200</v>
      </c>
      <c r="AS25" s="1">
        <f>14294+706</f>
        <v>15000</v>
      </c>
      <c r="AT25" s="1">
        <f>7573-1373</f>
        <v>6200</v>
      </c>
      <c r="AU25" s="1">
        <f t="shared" si="19"/>
        <v>315873</v>
      </c>
      <c r="AV25" s="1">
        <f>313839+2034</f>
        <v>315873</v>
      </c>
      <c r="AW25" s="76"/>
      <c r="AX25" s="76"/>
      <c r="AY25" s="61"/>
      <c r="AZ25" s="1"/>
      <c r="BA25" s="1"/>
      <c r="BB25" s="62">
        <v>210200</v>
      </c>
      <c r="BC25" s="62">
        <f t="shared" si="6"/>
        <v>0</v>
      </c>
      <c r="BD25" s="62"/>
      <c r="BE25" s="62"/>
      <c r="BF25" s="1"/>
      <c r="BG25" s="1"/>
      <c r="BH25" s="1">
        <f t="shared" si="7"/>
        <v>0</v>
      </c>
      <c r="BI25" s="1"/>
      <c r="BJ25" s="1"/>
      <c r="BK25" s="1"/>
      <c r="BL25" s="1"/>
      <c r="BM25" s="1"/>
      <c r="BN25" s="1"/>
      <c r="BO25" s="1"/>
      <c r="BP25" s="1"/>
      <c r="BQ25" s="1"/>
      <c r="BR25" s="1">
        <v>0</v>
      </c>
      <c r="BS25" s="1"/>
      <c r="BT25" s="1"/>
      <c r="BU25" s="1"/>
      <c r="BV25" s="62"/>
      <c r="BW25" s="62"/>
      <c r="BX25" s="1">
        <v>20658</v>
      </c>
      <c r="BY25" s="1">
        <v>300000</v>
      </c>
      <c r="BZ25" s="1"/>
      <c r="CA25" s="1">
        <v>8158</v>
      </c>
      <c r="CB25" s="1"/>
      <c r="CC25" s="1"/>
      <c r="CD25" s="1"/>
      <c r="CE25" s="1"/>
      <c r="CF25" s="1"/>
      <c r="CG25" s="1"/>
      <c r="CH25" s="1"/>
      <c r="CI25" s="1"/>
      <c r="CJ25" s="75"/>
      <c r="CK25" s="75"/>
      <c r="CL25" s="1">
        <f t="shared" si="1"/>
        <v>3729237</v>
      </c>
      <c r="CN25" s="34"/>
      <c r="CO25" s="25"/>
    </row>
    <row r="26" spans="1:93" ht="71.25" customHeight="1" x14ac:dyDescent="0.95">
      <c r="A26" s="2" t="s">
        <v>16</v>
      </c>
      <c r="B26" s="95" t="s">
        <v>112</v>
      </c>
      <c r="C26" s="95"/>
      <c r="D26" s="44"/>
      <c r="E26" s="44"/>
      <c r="F26" s="44"/>
      <c r="G26" s="44"/>
      <c r="H26" s="44"/>
      <c r="I26" s="44"/>
      <c r="J26" s="44"/>
      <c r="K26" s="1">
        <v>25300</v>
      </c>
      <c r="L26" s="44"/>
      <c r="M26" s="45"/>
      <c r="N26" s="44"/>
      <c r="O26" s="44"/>
      <c r="P26" s="44"/>
      <c r="Q26" s="44"/>
      <c r="R26" s="44"/>
      <c r="S26" s="62"/>
      <c r="T26" s="44"/>
      <c r="U26" s="44"/>
      <c r="V26" s="44"/>
      <c r="W26" s="1">
        <f t="shared" si="0"/>
        <v>25300</v>
      </c>
      <c r="X26" s="62"/>
      <c r="Y26" s="62">
        <v>8524236</v>
      </c>
      <c r="Z26" s="1"/>
      <c r="AA26" s="76"/>
      <c r="AB26" s="76"/>
      <c r="AC26" s="76">
        <v>739642.68</v>
      </c>
      <c r="AD26" s="76"/>
      <c r="AE26" s="76"/>
      <c r="AF26" s="75"/>
      <c r="AG26" s="75"/>
      <c r="AH26" s="1">
        <f t="shared" si="20"/>
        <v>710653</v>
      </c>
      <c r="AI26" s="1">
        <v>710653</v>
      </c>
      <c r="AJ26" s="1"/>
      <c r="AK26" s="1"/>
      <c r="AL26" s="1">
        <f t="shared" si="3"/>
        <v>0</v>
      </c>
      <c r="AM26" s="1">
        <f>27242.65-27242.65</f>
        <v>0</v>
      </c>
      <c r="AN26" s="1"/>
      <c r="AO26" s="1"/>
      <c r="AP26" s="26"/>
      <c r="AQ26" s="1"/>
      <c r="AR26" s="1">
        <f t="shared" si="4"/>
        <v>318000</v>
      </c>
      <c r="AS26" s="1">
        <f>214410+10590</f>
        <v>225000</v>
      </c>
      <c r="AT26" s="1">
        <f>113595-20595</f>
        <v>93000</v>
      </c>
      <c r="AU26" s="1">
        <f t="shared" si="19"/>
        <v>995392</v>
      </c>
      <c r="AV26" s="1">
        <f>1062032+6745-73385</f>
        <v>995392</v>
      </c>
      <c r="AW26" s="76"/>
      <c r="AX26" s="76"/>
      <c r="AY26" s="61"/>
      <c r="AZ26" s="1"/>
      <c r="BA26" s="1"/>
      <c r="BB26" s="62">
        <v>987940</v>
      </c>
      <c r="BC26" s="62">
        <f t="shared" si="6"/>
        <v>0</v>
      </c>
      <c r="BD26" s="62"/>
      <c r="BE26" s="62"/>
      <c r="BF26" s="1">
        <v>264171</v>
      </c>
      <c r="BG26" s="1">
        <v>264171</v>
      </c>
      <c r="BH26" s="1">
        <f t="shared" si="7"/>
        <v>2896650</v>
      </c>
      <c r="BI26" s="1">
        <v>818050</v>
      </c>
      <c r="BJ26" s="1">
        <v>2078600</v>
      </c>
      <c r="BK26" s="1"/>
      <c r="BL26" s="1"/>
      <c r="BM26" s="1"/>
      <c r="BN26" s="1"/>
      <c r="BO26" s="1"/>
      <c r="BP26" s="1"/>
      <c r="BQ26" s="1"/>
      <c r="BR26" s="1">
        <v>0</v>
      </c>
      <c r="BS26" s="1"/>
      <c r="BT26" s="1"/>
      <c r="BU26" s="1"/>
      <c r="BV26" s="62">
        <v>14638</v>
      </c>
      <c r="BW26" s="62"/>
      <c r="BX26" s="1">
        <v>20218</v>
      </c>
      <c r="BY26" s="1">
        <f>405000-30000</f>
        <v>375000</v>
      </c>
      <c r="BZ26" s="1"/>
      <c r="CA26" s="1">
        <v>5704</v>
      </c>
      <c r="CB26" s="1"/>
      <c r="CC26" s="1"/>
      <c r="CD26" s="1"/>
      <c r="CE26" s="1"/>
      <c r="CF26" s="1">
        <v>600000</v>
      </c>
      <c r="CG26" s="1"/>
      <c r="CH26" s="1"/>
      <c r="CI26" s="1"/>
      <c r="CJ26" s="75"/>
      <c r="CK26" s="75"/>
      <c r="CL26" s="1">
        <f t="shared" si="1"/>
        <v>16452244.68</v>
      </c>
      <c r="CN26" s="34"/>
      <c r="CO26" s="25"/>
    </row>
    <row r="27" spans="1:93" ht="71.25" customHeight="1" x14ac:dyDescent="0.95">
      <c r="A27" s="2" t="s">
        <v>17</v>
      </c>
      <c r="B27" s="95" t="s">
        <v>113</v>
      </c>
      <c r="C27" s="95"/>
      <c r="D27" s="44"/>
      <c r="E27" s="44"/>
      <c r="F27" s="44"/>
      <c r="G27" s="44"/>
      <c r="H27" s="44"/>
      <c r="I27" s="44"/>
      <c r="J27" s="44"/>
      <c r="K27" s="1">
        <v>45500</v>
      </c>
      <c r="L27" s="44"/>
      <c r="M27" s="45"/>
      <c r="N27" s="44"/>
      <c r="O27" s="44"/>
      <c r="P27" s="44"/>
      <c r="Q27" s="44"/>
      <c r="R27" s="44"/>
      <c r="S27" s="62">
        <v>200000</v>
      </c>
      <c r="T27" s="44"/>
      <c r="U27" s="44"/>
      <c r="V27" s="44"/>
      <c r="W27" s="1">
        <f t="shared" si="0"/>
        <v>245500</v>
      </c>
      <c r="X27" s="62"/>
      <c r="Y27" s="62">
        <f>3792762+6066862</f>
        <v>9859624</v>
      </c>
      <c r="Z27" s="1"/>
      <c r="AA27" s="76"/>
      <c r="AB27" s="76"/>
      <c r="AC27" s="75"/>
      <c r="AD27" s="75"/>
      <c r="AE27" s="75"/>
      <c r="AF27" s="75"/>
      <c r="AG27" s="75"/>
      <c r="AH27" s="1">
        <f t="shared" si="20"/>
        <v>1171937</v>
      </c>
      <c r="AI27" s="1">
        <v>1171937</v>
      </c>
      <c r="AJ27" s="1"/>
      <c r="AK27" s="1"/>
      <c r="AL27" s="1">
        <f t="shared" si="3"/>
        <v>0</v>
      </c>
      <c r="AM27" s="1"/>
      <c r="AN27" s="1"/>
      <c r="AO27" s="1"/>
      <c r="AP27" s="26"/>
      <c r="AQ27" s="1"/>
      <c r="AR27" s="1">
        <f t="shared" si="4"/>
        <v>212000</v>
      </c>
      <c r="AS27" s="1">
        <f>142940+7060</f>
        <v>150000</v>
      </c>
      <c r="AT27" s="1">
        <f>75730-13730</f>
        <v>62000</v>
      </c>
      <c r="AU27" s="1">
        <f t="shared" si="19"/>
        <v>1321441</v>
      </c>
      <c r="AV27" s="1">
        <f>1313066+8375</f>
        <v>1321441</v>
      </c>
      <c r="AW27" s="75"/>
      <c r="AX27" s="75"/>
      <c r="AY27" s="61"/>
      <c r="AZ27" s="1"/>
      <c r="BA27" s="1"/>
      <c r="BB27" s="62">
        <v>1618540</v>
      </c>
      <c r="BC27" s="62">
        <f t="shared" si="6"/>
        <v>0</v>
      </c>
      <c r="BD27" s="62"/>
      <c r="BE27" s="62"/>
      <c r="BF27" s="1"/>
      <c r="BG27" s="1"/>
      <c r="BH27" s="1">
        <f t="shared" si="7"/>
        <v>0</v>
      </c>
      <c r="BI27" s="1"/>
      <c r="BJ27" s="1">
        <v>0</v>
      </c>
      <c r="BK27" s="1"/>
      <c r="BL27" s="1"/>
      <c r="BM27" s="1"/>
      <c r="BN27" s="1"/>
      <c r="BO27" s="1"/>
      <c r="BP27" s="1"/>
      <c r="BQ27" s="1"/>
      <c r="BR27" s="1">
        <v>0</v>
      </c>
      <c r="BS27" s="1"/>
      <c r="BT27" s="1"/>
      <c r="BU27" s="1"/>
      <c r="BV27" s="62">
        <v>9408</v>
      </c>
      <c r="BW27" s="62"/>
      <c r="BX27" s="1">
        <v>37800</v>
      </c>
      <c r="BY27" s="1">
        <f>1770000+600000+25000-200000</f>
        <v>2195000</v>
      </c>
      <c r="BZ27" s="1"/>
      <c r="CA27" s="1">
        <v>9950</v>
      </c>
      <c r="CB27" s="1"/>
      <c r="CC27" s="1">
        <v>40000</v>
      </c>
      <c r="CD27" s="1"/>
      <c r="CE27" s="1"/>
      <c r="CF27" s="1"/>
      <c r="CG27" s="1"/>
      <c r="CH27" s="1">
        <v>2500000</v>
      </c>
      <c r="CI27" s="1"/>
      <c r="CJ27" s="75"/>
      <c r="CK27" s="75"/>
      <c r="CL27" s="1">
        <f t="shared" si="1"/>
        <v>18975700</v>
      </c>
    </row>
    <row r="28" spans="1:93" ht="71.25" customHeight="1" x14ac:dyDescent="0.95">
      <c r="A28" s="2" t="s">
        <v>18</v>
      </c>
      <c r="B28" s="95" t="s">
        <v>114</v>
      </c>
      <c r="C28" s="95"/>
      <c r="D28" s="44"/>
      <c r="E28" s="44"/>
      <c r="F28" s="44"/>
      <c r="G28" s="44"/>
      <c r="H28" s="44"/>
      <c r="I28" s="44"/>
      <c r="J28" s="44"/>
      <c r="K28" s="1">
        <v>44300</v>
      </c>
      <c r="L28" s="44"/>
      <c r="M28" s="45"/>
      <c r="N28" s="44"/>
      <c r="O28" s="44"/>
      <c r="P28" s="44"/>
      <c r="Q28" s="44"/>
      <c r="R28" s="44"/>
      <c r="S28" s="62">
        <v>200000</v>
      </c>
      <c r="T28" s="44"/>
      <c r="U28" s="44"/>
      <c r="V28" s="44"/>
      <c r="W28" s="1">
        <f t="shared" si="0"/>
        <v>244300</v>
      </c>
      <c r="X28" s="62"/>
      <c r="Y28" s="62">
        <f>7347725+1430169</f>
        <v>8777894</v>
      </c>
      <c r="Z28" s="1"/>
      <c r="AA28" s="76"/>
      <c r="AB28" s="76"/>
      <c r="AC28" s="75"/>
      <c r="AD28" s="75"/>
      <c r="AE28" s="75"/>
      <c r="AF28" s="75"/>
      <c r="AG28" s="75"/>
      <c r="AH28" s="1">
        <f t="shared" si="20"/>
        <v>659404</v>
      </c>
      <c r="AI28" s="1">
        <v>659404</v>
      </c>
      <c r="AJ28" s="1"/>
      <c r="AK28" s="1"/>
      <c r="AL28" s="1">
        <f t="shared" si="3"/>
        <v>1000000</v>
      </c>
      <c r="AM28" s="1"/>
      <c r="AN28" s="1"/>
      <c r="AO28" s="1"/>
      <c r="AP28" s="26"/>
      <c r="AQ28" s="1">
        <v>1000000</v>
      </c>
      <c r="AR28" s="1">
        <f t="shared" si="4"/>
        <v>0</v>
      </c>
      <c r="AS28" s="1"/>
      <c r="AT28" s="1"/>
      <c r="AU28" s="1">
        <f t="shared" si="19"/>
        <v>1229823</v>
      </c>
      <c r="AV28" s="1">
        <f>1221978+7845</f>
        <v>1229823</v>
      </c>
      <c r="AW28" s="75"/>
      <c r="AX28" s="75"/>
      <c r="AY28" s="61"/>
      <c r="AZ28" s="1"/>
      <c r="BA28" s="1"/>
      <c r="BB28" s="62">
        <v>1072020</v>
      </c>
      <c r="BC28" s="62">
        <f t="shared" si="6"/>
        <v>0</v>
      </c>
      <c r="BD28" s="62"/>
      <c r="BE28" s="62"/>
      <c r="BF28" s="1">
        <v>225229</v>
      </c>
      <c r="BG28" s="1">
        <v>225229</v>
      </c>
      <c r="BH28" s="1">
        <f t="shared" si="7"/>
        <v>1149359</v>
      </c>
      <c r="BI28" s="1">
        <v>697459</v>
      </c>
      <c r="BJ28" s="1">
        <v>451900</v>
      </c>
      <c r="BK28" s="1"/>
      <c r="BL28" s="1">
        <v>67700</v>
      </c>
      <c r="BM28" s="1">
        <v>67700</v>
      </c>
      <c r="BN28" s="1"/>
      <c r="BO28" s="1"/>
      <c r="BP28" s="1"/>
      <c r="BQ28" s="1"/>
      <c r="BR28" s="1">
        <v>0</v>
      </c>
      <c r="BS28" s="1"/>
      <c r="BT28" s="1"/>
      <c r="BU28" s="1"/>
      <c r="BV28" s="62">
        <v>17602</v>
      </c>
      <c r="BW28" s="62"/>
      <c r="BX28" s="1">
        <v>14065</v>
      </c>
      <c r="BY28" s="1">
        <f>1120000-15000</f>
        <v>1105000</v>
      </c>
      <c r="BZ28" s="1"/>
      <c r="CA28" s="1">
        <v>5100</v>
      </c>
      <c r="CB28" s="1"/>
      <c r="CC28" s="1"/>
      <c r="CD28" s="1"/>
      <c r="CE28" s="1"/>
      <c r="CF28" s="1">
        <v>700000</v>
      </c>
      <c r="CG28" s="1"/>
      <c r="CH28" s="1"/>
      <c r="CI28" s="1"/>
      <c r="CJ28" s="75"/>
      <c r="CK28" s="75"/>
      <c r="CL28" s="1">
        <f t="shared" si="1"/>
        <v>16023196</v>
      </c>
    </row>
    <row r="29" spans="1:93" ht="71.25" customHeight="1" x14ac:dyDescent="0.95">
      <c r="A29" s="2" t="s">
        <v>19</v>
      </c>
      <c r="B29" s="95" t="s">
        <v>115</v>
      </c>
      <c r="C29" s="95"/>
      <c r="D29" s="44"/>
      <c r="E29" s="44"/>
      <c r="F29" s="44"/>
      <c r="G29" s="44"/>
      <c r="H29" s="44"/>
      <c r="I29" s="44"/>
      <c r="J29" s="44"/>
      <c r="K29" s="1">
        <v>15000</v>
      </c>
      <c r="L29" s="44"/>
      <c r="M29" s="45"/>
      <c r="N29" s="44"/>
      <c r="O29" s="44"/>
      <c r="P29" s="44"/>
      <c r="Q29" s="44"/>
      <c r="R29" s="44"/>
      <c r="S29" s="62"/>
      <c r="T29" s="44"/>
      <c r="U29" s="44"/>
      <c r="V29" s="44"/>
      <c r="W29" s="1">
        <f t="shared" si="0"/>
        <v>15000</v>
      </c>
      <c r="X29" s="62"/>
      <c r="Y29" s="62">
        <f>4730851+1094689</f>
        <v>5825540</v>
      </c>
      <c r="Z29" s="1"/>
      <c r="AA29" s="76"/>
      <c r="AB29" s="76"/>
      <c r="AC29" s="75"/>
      <c r="AD29" s="75"/>
      <c r="AE29" s="75"/>
      <c r="AF29" s="75"/>
      <c r="AG29" s="75"/>
      <c r="AH29" s="1">
        <f t="shared" si="20"/>
        <v>0</v>
      </c>
      <c r="AI29" s="1"/>
      <c r="AJ29" s="1"/>
      <c r="AK29" s="1"/>
      <c r="AL29" s="1">
        <f t="shared" si="3"/>
        <v>0</v>
      </c>
      <c r="AM29" s="1"/>
      <c r="AN29" s="1"/>
      <c r="AO29" s="1"/>
      <c r="AP29" s="26"/>
      <c r="AQ29" s="1"/>
      <c r="AR29" s="1">
        <f t="shared" si="4"/>
        <v>169600</v>
      </c>
      <c r="AS29" s="1">
        <f>114352+5648</f>
        <v>120000</v>
      </c>
      <c r="AT29" s="1">
        <f>60584-10984</f>
        <v>49600</v>
      </c>
      <c r="AU29" s="1">
        <f t="shared" si="19"/>
        <v>824920</v>
      </c>
      <c r="AV29" s="1">
        <f>819466+5454</f>
        <v>824920</v>
      </c>
      <c r="AW29" s="75"/>
      <c r="AX29" s="75"/>
      <c r="AY29" s="61"/>
      <c r="AZ29" s="1"/>
      <c r="BA29" s="1"/>
      <c r="BB29" s="62">
        <v>483460</v>
      </c>
      <c r="BC29" s="62">
        <f t="shared" si="6"/>
        <v>0</v>
      </c>
      <c r="BD29" s="62"/>
      <c r="BE29" s="62"/>
      <c r="BF29" s="1"/>
      <c r="BG29" s="1"/>
      <c r="BH29" s="1">
        <f t="shared" si="7"/>
        <v>0</v>
      </c>
      <c r="BI29" s="1"/>
      <c r="BJ29" s="1">
        <v>0</v>
      </c>
      <c r="BK29" s="1"/>
      <c r="BL29" s="1">
        <v>69300</v>
      </c>
      <c r="BM29" s="1">
        <v>69300</v>
      </c>
      <c r="BN29" s="1"/>
      <c r="BO29" s="1"/>
      <c r="BP29" s="1"/>
      <c r="BQ29" s="1"/>
      <c r="BR29" s="1">
        <v>0</v>
      </c>
      <c r="BS29" s="1"/>
      <c r="BT29" s="1"/>
      <c r="BU29" s="1"/>
      <c r="BV29" s="62"/>
      <c r="BW29" s="62"/>
      <c r="BX29" s="1">
        <v>14944</v>
      </c>
      <c r="BY29" s="27">
        <v>250000</v>
      </c>
      <c r="BZ29" s="27"/>
      <c r="CA29" s="27">
        <v>14662</v>
      </c>
      <c r="CB29" s="27"/>
      <c r="CC29" s="27"/>
      <c r="CD29" s="27"/>
      <c r="CE29" s="27"/>
      <c r="CF29" s="27"/>
      <c r="CG29" s="27"/>
      <c r="CH29" s="27"/>
      <c r="CI29" s="27"/>
      <c r="CJ29" s="75"/>
      <c r="CK29" s="75"/>
      <c r="CL29" s="1">
        <f t="shared" si="1"/>
        <v>7652426</v>
      </c>
    </row>
    <row r="30" spans="1:93" ht="71.25" customHeight="1" x14ac:dyDescent="0.95">
      <c r="A30" s="2" t="s">
        <v>20</v>
      </c>
      <c r="B30" s="95" t="s">
        <v>116</v>
      </c>
      <c r="C30" s="95"/>
      <c r="D30" s="44"/>
      <c r="E30" s="44"/>
      <c r="F30" s="44"/>
      <c r="G30" s="62">
        <v>1000000</v>
      </c>
      <c r="H30" s="62">
        <f>555000-2000</f>
        <v>553000</v>
      </c>
      <c r="I30" s="44"/>
      <c r="J30" s="44"/>
      <c r="K30" s="1">
        <v>26800</v>
      </c>
      <c r="L30" s="44"/>
      <c r="M30" s="62">
        <v>50000</v>
      </c>
      <c r="N30" s="44"/>
      <c r="O30" s="44"/>
      <c r="P30" s="44"/>
      <c r="Q30" s="44"/>
      <c r="R30" s="44"/>
      <c r="S30" s="62">
        <v>200000</v>
      </c>
      <c r="T30" s="44"/>
      <c r="U30" s="44"/>
      <c r="V30" s="44"/>
      <c r="W30" s="1">
        <f t="shared" si="0"/>
        <v>1829800</v>
      </c>
      <c r="X30" s="62"/>
      <c r="Y30" s="62">
        <f>1206433+9191724</f>
        <v>10398157</v>
      </c>
      <c r="Z30" s="1"/>
      <c r="AA30" s="76"/>
      <c r="AB30" s="76"/>
      <c r="AC30" s="75"/>
      <c r="AD30" s="75"/>
      <c r="AE30" s="75"/>
      <c r="AF30" s="75"/>
      <c r="AG30" s="75"/>
      <c r="AH30" s="1">
        <f t="shared" si="20"/>
        <v>868821</v>
      </c>
      <c r="AI30" s="1">
        <v>868821</v>
      </c>
      <c r="AJ30" s="1"/>
      <c r="AK30" s="1"/>
      <c r="AL30" s="1">
        <f t="shared" si="3"/>
        <v>0</v>
      </c>
      <c r="AM30" s="1"/>
      <c r="AN30" s="1"/>
      <c r="AO30" s="1"/>
      <c r="AP30" s="26"/>
      <c r="AQ30" s="1"/>
      <c r="AR30" s="1">
        <f t="shared" si="4"/>
        <v>84800</v>
      </c>
      <c r="AS30" s="1">
        <f>57176+2824</f>
        <v>60000</v>
      </c>
      <c r="AT30" s="1">
        <f>30292-5492</f>
        <v>24800</v>
      </c>
      <c r="AU30" s="1">
        <f t="shared" si="19"/>
        <v>1225591</v>
      </c>
      <c r="AV30" s="1">
        <f>1217608+7983</f>
        <v>1225591</v>
      </c>
      <c r="AW30" s="75"/>
      <c r="AX30" s="75"/>
      <c r="AY30" s="61"/>
      <c r="AZ30" s="1"/>
      <c r="BA30" s="1"/>
      <c r="BB30" s="62">
        <v>1261200</v>
      </c>
      <c r="BC30" s="62">
        <f t="shared" si="6"/>
        <v>0</v>
      </c>
      <c r="BD30" s="62"/>
      <c r="BE30" s="62"/>
      <c r="BF30" s="1">
        <v>228387</v>
      </c>
      <c r="BG30" s="1">
        <v>228387</v>
      </c>
      <c r="BH30" s="1">
        <f t="shared" si="7"/>
        <v>1361938</v>
      </c>
      <c r="BI30" s="1">
        <v>707238</v>
      </c>
      <c r="BJ30" s="1">
        <v>654700</v>
      </c>
      <c r="BK30" s="1"/>
      <c r="BL30" s="1"/>
      <c r="BM30" s="1"/>
      <c r="BN30" s="1"/>
      <c r="BO30" s="1"/>
      <c r="BP30" s="1"/>
      <c r="BQ30" s="1"/>
      <c r="BR30" s="1">
        <v>0</v>
      </c>
      <c r="BS30" s="1"/>
      <c r="BT30" s="1"/>
      <c r="BU30" s="1"/>
      <c r="BV30" s="62">
        <v>4956</v>
      </c>
      <c r="BW30" s="62"/>
      <c r="BX30" s="1">
        <v>14944</v>
      </c>
      <c r="BY30" s="27">
        <v>420000</v>
      </c>
      <c r="BZ30" s="27"/>
      <c r="CA30" s="27">
        <v>2850</v>
      </c>
      <c r="CB30" s="27"/>
      <c r="CC30" s="27">
        <v>35500</v>
      </c>
      <c r="CD30" s="27"/>
      <c r="CE30" s="27"/>
      <c r="CF30" s="27"/>
      <c r="CG30" s="27"/>
      <c r="CH30" s="27"/>
      <c r="CI30" s="27"/>
      <c r="CJ30" s="75"/>
      <c r="CK30" s="75"/>
      <c r="CL30" s="1">
        <f t="shared" si="1"/>
        <v>15907144</v>
      </c>
    </row>
    <row r="31" spans="1:93" ht="71.25" customHeight="1" x14ac:dyDescent="0.95">
      <c r="A31" s="2" t="s">
        <v>21</v>
      </c>
      <c r="B31" s="95" t="s">
        <v>117</v>
      </c>
      <c r="C31" s="95"/>
      <c r="D31" s="44"/>
      <c r="E31" s="44"/>
      <c r="F31" s="44"/>
      <c r="G31" s="44"/>
      <c r="H31" s="44"/>
      <c r="I31" s="44"/>
      <c r="J31" s="44"/>
      <c r="K31" s="1">
        <v>3500</v>
      </c>
      <c r="L31" s="44"/>
      <c r="M31" s="45"/>
      <c r="N31" s="44"/>
      <c r="O31" s="44"/>
      <c r="P31" s="44"/>
      <c r="Q31" s="44"/>
      <c r="R31" s="44"/>
      <c r="S31" s="62"/>
      <c r="T31" s="44"/>
      <c r="U31" s="44"/>
      <c r="V31" s="44"/>
      <c r="W31" s="1">
        <f t="shared" si="0"/>
        <v>3500</v>
      </c>
      <c r="X31" s="62"/>
      <c r="Y31" s="62">
        <v>1434507</v>
      </c>
      <c r="Z31" s="1"/>
      <c r="AA31" s="76"/>
      <c r="AB31" s="76"/>
      <c r="AC31" s="75"/>
      <c r="AD31" s="75"/>
      <c r="AE31" s="75"/>
      <c r="AF31" s="75"/>
      <c r="AG31" s="75"/>
      <c r="AH31" s="1">
        <f t="shared" si="20"/>
        <v>0</v>
      </c>
      <c r="AI31" s="1"/>
      <c r="AJ31" s="1"/>
      <c r="AK31" s="1"/>
      <c r="AL31" s="1">
        <f t="shared" si="3"/>
        <v>0</v>
      </c>
      <c r="AM31" s="1"/>
      <c r="AN31" s="1"/>
      <c r="AO31" s="1"/>
      <c r="AP31" s="26"/>
      <c r="AQ31" s="1"/>
      <c r="AR31" s="1">
        <f t="shared" si="4"/>
        <v>0</v>
      </c>
      <c r="AS31" s="1"/>
      <c r="AT31" s="1"/>
      <c r="AU31" s="1">
        <f t="shared" si="19"/>
        <v>196730</v>
      </c>
      <c r="AV31" s="1">
        <f>195448+1282</f>
        <v>196730</v>
      </c>
      <c r="AW31" s="75"/>
      <c r="AX31" s="75"/>
      <c r="AY31" s="61"/>
      <c r="AZ31" s="1"/>
      <c r="BA31" s="1"/>
      <c r="BB31" s="62">
        <v>105100</v>
      </c>
      <c r="BC31" s="62">
        <f t="shared" si="6"/>
        <v>0</v>
      </c>
      <c r="BD31" s="62"/>
      <c r="BE31" s="62"/>
      <c r="BF31" s="1"/>
      <c r="BG31" s="1"/>
      <c r="BH31" s="1">
        <f t="shared" si="7"/>
        <v>0</v>
      </c>
      <c r="BI31" s="1"/>
      <c r="BJ31" s="1">
        <v>0</v>
      </c>
      <c r="BK31" s="1"/>
      <c r="BL31" s="1"/>
      <c r="BM31" s="1"/>
      <c r="BN31" s="1"/>
      <c r="BO31" s="1"/>
      <c r="BP31" s="1"/>
      <c r="BQ31" s="1"/>
      <c r="BR31" s="1">
        <v>0</v>
      </c>
      <c r="BS31" s="1"/>
      <c r="BT31" s="1"/>
      <c r="BU31" s="1"/>
      <c r="BV31" s="62"/>
      <c r="BW31" s="62"/>
      <c r="BX31" s="1">
        <v>8791</v>
      </c>
      <c r="BY31" s="27"/>
      <c r="BZ31" s="27"/>
      <c r="CA31" s="27">
        <v>650</v>
      </c>
      <c r="CB31" s="27"/>
      <c r="CC31" s="27"/>
      <c r="CD31" s="27"/>
      <c r="CE31" s="27"/>
      <c r="CF31" s="27"/>
      <c r="CG31" s="27"/>
      <c r="CH31" s="27"/>
      <c r="CI31" s="27"/>
      <c r="CJ31" s="75"/>
      <c r="CK31" s="75"/>
      <c r="CL31" s="1">
        <f t="shared" si="1"/>
        <v>1745778</v>
      </c>
    </row>
    <row r="32" spans="1:93" ht="71.25" customHeight="1" x14ac:dyDescent="0.95">
      <c r="A32" s="2" t="s">
        <v>22</v>
      </c>
      <c r="B32" s="95" t="s">
        <v>118</v>
      </c>
      <c r="C32" s="95"/>
      <c r="D32" s="44"/>
      <c r="E32" s="44"/>
      <c r="F32" s="44"/>
      <c r="G32" s="44"/>
      <c r="H32" s="44"/>
      <c r="I32" s="44"/>
      <c r="J32" s="44"/>
      <c r="K32" s="1">
        <v>12900</v>
      </c>
      <c r="L32" s="44"/>
      <c r="M32" s="45"/>
      <c r="N32" s="44"/>
      <c r="O32" s="44"/>
      <c r="P32" s="44"/>
      <c r="Q32" s="44"/>
      <c r="R32" s="44"/>
      <c r="S32" s="62"/>
      <c r="T32" s="44"/>
      <c r="U32" s="44"/>
      <c r="V32" s="44"/>
      <c r="W32" s="1">
        <f t="shared" si="0"/>
        <v>12900</v>
      </c>
      <c r="X32" s="62"/>
      <c r="Y32" s="62">
        <v>5041665</v>
      </c>
      <c r="Z32" s="1"/>
      <c r="AA32" s="76"/>
      <c r="AB32" s="76"/>
      <c r="AC32" s="75"/>
      <c r="AD32" s="75"/>
      <c r="AE32" s="75"/>
      <c r="AF32" s="75"/>
      <c r="AG32" s="75"/>
      <c r="AH32" s="1">
        <f t="shared" si="20"/>
        <v>603749</v>
      </c>
      <c r="AI32" s="1">
        <v>603749</v>
      </c>
      <c r="AJ32" s="1"/>
      <c r="AK32" s="1"/>
      <c r="AL32" s="1">
        <f t="shared" si="3"/>
        <v>0</v>
      </c>
      <c r="AM32" s="1"/>
      <c r="AN32" s="1"/>
      <c r="AO32" s="1"/>
      <c r="AP32" s="26"/>
      <c r="AQ32" s="1"/>
      <c r="AR32" s="1">
        <f t="shared" si="4"/>
        <v>190800</v>
      </c>
      <c r="AS32" s="1">
        <f>128646+6354</f>
        <v>135000</v>
      </c>
      <c r="AT32" s="1">
        <f>68157-12357</f>
        <v>55800</v>
      </c>
      <c r="AU32" s="1">
        <f t="shared" si="19"/>
        <v>474107</v>
      </c>
      <c r="AV32" s="1">
        <f>541992+3548-71433</f>
        <v>474107</v>
      </c>
      <c r="AW32" s="75"/>
      <c r="AX32" s="75"/>
      <c r="AY32" s="61"/>
      <c r="AZ32" s="1"/>
      <c r="BA32" s="1"/>
      <c r="BB32" s="62">
        <v>420400</v>
      </c>
      <c r="BC32" s="62">
        <f t="shared" si="6"/>
        <v>0</v>
      </c>
      <c r="BD32" s="62"/>
      <c r="BE32" s="62"/>
      <c r="BF32" s="1">
        <v>208390</v>
      </c>
      <c r="BG32" s="1">
        <v>208390</v>
      </c>
      <c r="BH32" s="1">
        <f t="shared" si="7"/>
        <v>645314</v>
      </c>
      <c r="BI32" s="1">
        <v>645314</v>
      </c>
      <c r="BJ32" s="1">
        <v>0</v>
      </c>
      <c r="BK32" s="1"/>
      <c r="BL32" s="1"/>
      <c r="BM32" s="1"/>
      <c r="BN32" s="1"/>
      <c r="BO32" s="1"/>
      <c r="BP32" s="1"/>
      <c r="BQ32" s="1"/>
      <c r="BR32" s="1">
        <v>0</v>
      </c>
      <c r="BS32" s="1"/>
      <c r="BT32" s="1"/>
      <c r="BU32" s="1"/>
      <c r="BV32" s="62"/>
      <c r="BW32" s="62"/>
      <c r="BX32" s="1">
        <v>11428</v>
      </c>
      <c r="BY32" s="27">
        <v>550000</v>
      </c>
      <c r="BZ32" s="27"/>
      <c r="CA32" s="27">
        <v>8000</v>
      </c>
      <c r="CB32" s="27"/>
      <c r="CC32" s="27"/>
      <c r="CD32" s="27"/>
      <c r="CE32" s="27"/>
      <c r="CF32" s="27"/>
      <c r="CG32" s="27"/>
      <c r="CH32" s="27"/>
      <c r="CI32" s="27"/>
      <c r="CJ32" s="75"/>
      <c r="CK32" s="75"/>
      <c r="CL32" s="1">
        <f t="shared" si="1"/>
        <v>8153853</v>
      </c>
    </row>
    <row r="33" spans="1:90" ht="71.25" customHeight="1" x14ac:dyDescent="0.95">
      <c r="A33" s="2" t="s">
        <v>23</v>
      </c>
      <c r="B33" s="95" t="s">
        <v>119</v>
      </c>
      <c r="C33" s="95"/>
      <c r="D33" s="44"/>
      <c r="E33" s="44"/>
      <c r="F33" s="44"/>
      <c r="G33" s="44"/>
      <c r="H33" s="44"/>
      <c r="I33" s="1">
        <v>5000000</v>
      </c>
      <c r="J33" s="44"/>
      <c r="K33" s="1">
        <v>32800</v>
      </c>
      <c r="L33" s="44"/>
      <c r="M33" s="45"/>
      <c r="N33" s="44"/>
      <c r="O33" s="44"/>
      <c r="P33" s="44"/>
      <c r="Q33" s="44"/>
      <c r="R33" s="44"/>
      <c r="S33" s="62">
        <v>200000</v>
      </c>
      <c r="T33" s="44"/>
      <c r="U33" s="44"/>
      <c r="V33" s="44"/>
      <c r="W33" s="1">
        <f t="shared" si="0"/>
        <v>5232800</v>
      </c>
      <c r="X33" s="62"/>
      <c r="Y33" s="62"/>
      <c r="Z33" s="1"/>
      <c r="AA33" s="76"/>
      <c r="AB33" s="76"/>
      <c r="AC33" s="75"/>
      <c r="AD33" s="75"/>
      <c r="AE33" s="75"/>
      <c r="AF33" s="75"/>
      <c r="AG33" s="75"/>
      <c r="AH33" s="1">
        <f t="shared" si="20"/>
        <v>753495</v>
      </c>
      <c r="AI33" s="1">
        <v>753495</v>
      </c>
      <c r="AJ33" s="1"/>
      <c r="AK33" s="1"/>
      <c r="AL33" s="1">
        <f t="shared" si="3"/>
        <v>942000</v>
      </c>
      <c r="AM33" s="1"/>
      <c r="AN33" s="1"/>
      <c r="AO33" s="1"/>
      <c r="AP33" s="26"/>
      <c r="AQ33" s="1">
        <v>942000</v>
      </c>
      <c r="AR33" s="1">
        <f t="shared" si="4"/>
        <v>185814</v>
      </c>
      <c r="AS33" s="1">
        <f>121438+8576</f>
        <v>130014</v>
      </c>
      <c r="AT33" s="1">
        <f>63701-7901</f>
        <v>55800</v>
      </c>
      <c r="AU33" s="1">
        <f t="shared" si="19"/>
        <v>1302711</v>
      </c>
      <c r="AV33" s="1">
        <f>1294299+8412</f>
        <v>1302711</v>
      </c>
      <c r="AW33" s="75"/>
      <c r="AX33" s="75"/>
      <c r="AY33" s="61"/>
      <c r="AZ33" s="1"/>
      <c r="BA33" s="1"/>
      <c r="BB33" s="62">
        <v>1408340</v>
      </c>
      <c r="BC33" s="62">
        <f t="shared" si="6"/>
        <v>0</v>
      </c>
      <c r="BD33" s="62"/>
      <c r="BE33" s="62"/>
      <c r="BF33" s="1">
        <f>239677+89747</f>
        <v>329424</v>
      </c>
      <c r="BG33" s="1">
        <f>239677+89747</f>
        <v>329424</v>
      </c>
      <c r="BH33" s="1">
        <f t="shared" si="7"/>
        <v>1020116</v>
      </c>
      <c r="BI33" s="1">
        <v>1020116</v>
      </c>
      <c r="BJ33" s="1">
        <v>0</v>
      </c>
      <c r="BK33" s="1"/>
      <c r="BL33" s="1"/>
      <c r="BM33" s="1"/>
      <c r="BN33" s="1"/>
      <c r="BO33" s="1"/>
      <c r="BP33" s="1"/>
      <c r="BQ33" s="1"/>
      <c r="BR33" s="1">
        <v>0</v>
      </c>
      <c r="BS33" s="1"/>
      <c r="BT33" s="1"/>
      <c r="BU33" s="1"/>
      <c r="BV33" s="62">
        <v>7350</v>
      </c>
      <c r="BW33" s="62"/>
      <c r="BX33" s="1">
        <v>36921</v>
      </c>
      <c r="BY33" s="27">
        <f>1020000+15000+200000</f>
        <v>1235000</v>
      </c>
      <c r="BZ33" s="27"/>
      <c r="CA33" s="27">
        <v>43274</v>
      </c>
      <c r="CB33" s="27"/>
      <c r="CC33" s="27"/>
      <c r="CD33" s="27"/>
      <c r="CE33" s="27"/>
      <c r="CF33" s="27"/>
      <c r="CG33" s="27"/>
      <c r="CH33" s="27"/>
      <c r="CI33" s="27"/>
      <c r="CJ33" s="75"/>
      <c r="CK33" s="75"/>
      <c r="CL33" s="1">
        <f t="shared" si="1"/>
        <v>7264445</v>
      </c>
    </row>
    <row r="34" spans="1:90" ht="71.25" customHeight="1" x14ac:dyDescent="0.95">
      <c r="A34" s="2" t="s">
        <v>24</v>
      </c>
      <c r="B34" s="95" t="s">
        <v>120</v>
      </c>
      <c r="C34" s="95"/>
      <c r="D34" s="44"/>
      <c r="E34" s="44"/>
      <c r="F34" s="44"/>
      <c r="G34" s="44"/>
      <c r="H34" s="44"/>
      <c r="I34" s="44"/>
      <c r="J34" s="44"/>
      <c r="K34" s="1"/>
      <c r="L34" s="44"/>
      <c r="M34" s="45"/>
      <c r="N34" s="44"/>
      <c r="O34" s="44"/>
      <c r="P34" s="44"/>
      <c r="Q34" s="44"/>
      <c r="R34" s="44"/>
      <c r="S34" s="62"/>
      <c r="T34" s="44"/>
      <c r="U34" s="44"/>
      <c r="V34" s="44"/>
      <c r="W34" s="1">
        <f t="shared" si="0"/>
        <v>0</v>
      </c>
      <c r="X34" s="62"/>
      <c r="Y34" s="62">
        <f>63565+699219</f>
        <v>762784</v>
      </c>
      <c r="Z34" s="1"/>
      <c r="AA34" s="76"/>
      <c r="AB34" s="76"/>
      <c r="AC34" s="75"/>
      <c r="AD34" s="75"/>
      <c r="AE34" s="75"/>
      <c r="AF34" s="75"/>
      <c r="AG34" s="75"/>
      <c r="AH34" s="1">
        <f t="shared" si="20"/>
        <v>0</v>
      </c>
      <c r="AI34" s="1"/>
      <c r="AJ34" s="1"/>
      <c r="AK34" s="1"/>
      <c r="AL34" s="1">
        <f t="shared" si="3"/>
        <v>0</v>
      </c>
      <c r="AM34" s="1"/>
      <c r="AN34" s="1"/>
      <c r="AO34" s="1"/>
      <c r="AP34" s="26"/>
      <c r="AQ34" s="1"/>
      <c r="AR34" s="1">
        <f t="shared" si="4"/>
        <v>0</v>
      </c>
      <c r="AS34" s="1"/>
      <c r="AT34" s="1"/>
      <c r="AU34" s="1">
        <f t="shared" si="19"/>
        <v>0</v>
      </c>
      <c r="AV34" s="1"/>
      <c r="AW34" s="75"/>
      <c r="AX34" s="75"/>
      <c r="AY34" s="61"/>
      <c r="AZ34" s="1"/>
      <c r="BA34" s="1"/>
      <c r="BB34" s="62"/>
      <c r="BC34" s="62">
        <f t="shared" si="6"/>
        <v>0</v>
      </c>
      <c r="BD34" s="62"/>
      <c r="BE34" s="62"/>
      <c r="BF34" s="1"/>
      <c r="BG34" s="1"/>
      <c r="BH34" s="1">
        <f t="shared" si="7"/>
        <v>0</v>
      </c>
      <c r="BI34" s="1"/>
      <c r="BJ34" s="1">
        <v>0</v>
      </c>
      <c r="BK34" s="1"/>
      <c r="BL34" s="1"/>
      <c r="BM34" s="1"/>
      <c r="BN34" s="1"/>
      <c r="BO34" s="1"/>
      <c r="BP34" s="1"/>
      <c r="BQ34" s="1"/>
      <c r="BR34" s="1">
        <v>0</v>
      </c>
      <c r="BS34" s="1"/>
      <c r="BT34" s="1"/>
      <c r="BU34" s="1"/>
      <c r="BV34" s="62"/>
      <c r="BW34" s="62"/>
      <c r="BX34" s="1">
        <v>7032</v>
      </c>
      <c r="BY34" s="27"/>
      <c r="BZ34" s="27"/>
      <c r="CA34" s="27">
        <v>1754</v>
      </c>
      <c r="CB34" s="27"/>
      <c r="CC34" s="27"/>
      <c r="CD34" s="27"/>
      <c r="CE34" s="27"/>
      <c r="CF34" s="27"/>
      <c r="CG34" s="27"/>
      <c r="CH34" s="27"/>
      <c r="CI34" s="27"/>
      <c r="CJ34" s="75"/>
      <c r="CK34" s="75"/>
      <c r="CL34" s="1">
        <f t="shared" si="1"/>
        <v>771570</v>
      </c>
    </row>
    <row r="35" spans="1:90" ht="71.25" customHeight="1" x14ac:dyDescent="0.95">
      <c r="A35" s="2" t="s">
        <v>25</v>
      </c>
      <c r="B35" s="95" t="s">
        <v>121</v>
      </c>
      <c r="C35" s="95"/>
      <c r="D35" s="44"/>
      <c r="E35" s="44"/>
      <c r="F35" s="44"/>
      <c r="G35" s="44"/>
      <c r="H35" s="44"/>
      <c r="I35" s="44"/>
      <c r="J35" s="44"/>
      <c r="K35" s="1">
        <v>16200</v>
      </c>
      <c r="L35" s="44"/>
      <c r="M35" s="45"/>
      <c r="N35" s="44"/>
      <c r="O35" s="44"/>
      <c r="P35" s="44"/>
      <c r="Q35" s="44"/>
      <c r="R35" s="44"/>
      <c r="S35" s="62">
        <v>200000</v>
      </c>
      <c r="T35" s="44"/>
      <c r="U35" s="44"/>
      <c r="V35" s="44"/>
      <c r="W35" s="1">
        <f t="shared" si="0"/>
        <v>216200</v>
      </c>
      <c r="X35" s="62"/>
      <c r="Y35" s="62"/>
      <c r="Z35" s="1"/>
      <c r="AA35" s="76"/>
      <c r="AB35" s="76"/>
      <c r="AC35" s="75"/>
      <c r="AD35" s="75"/>
      <c r="AE35" s="75"/>
      <c r="AF35" s="75"/>
      <c r="AG35" s="75"/>
      <c r="AH35" s="1">
        <f t="shared" si="20"/>
        <v>846300</v>
      </c>
      <c r="AI35" s="1">
        <v>846300</v>
      </c>
      <c r="AJ35" s="1"/>
      <c r="AK35" s="1"/>
      <c r="AL35" s="1">
        <f t="shared" si="3"/>
        <v>1000000</v>
      </c>
      <c r="AM35" s="1"/>
      <c r="AN35" s="1"/>
      <c r="AO35" s="1"/>
      <c r="AP35" s="26"/>
      <c r="AQ35" s="1">
        <v>1000000</v>
      </c>
      <c r="AR35" s="1">
        <f t="shared" si="4"/>
        <v>286828</v>
      </c>
      <c r="AS35" s="1">
        <f>185700+14328</f>
        <v>200028</v>
      </c>
      <c r="AT35" s="1">
        <f>97110-10310</f>
        <v>86800</v>
      </c>
      <c r="AU35" s="1">
        <f t="shared" si="19"/>
        <v>508946</v>
      </c>
      <c r="AV35" s="1">
        <f>505702+3244</f>
        <v>508946</v>
      </c>
      <c r="AW35" s="75"/>
      <c r="AX35" s="75"/>
      <c r="AY35" s="61"/>
      <c r="AZ35" s="1"/>
      <c r="BA35" s="1"/>
      <c r="BB35" s="62">
        <v>399380</v>
      </c>
      <c r="BC35" s="62">
        <f t="shared" si="6"/>
        <v>0</v>
      </c>
      <c r="BD35" s="62"/>
      <c r="BE35" s="62"/>
      <c r="BF35" s="1"/>
      <c r="BG35" s="1"/>
      <c r="BH35" s="1">
        <f t="shared" si="7"/>
        <v>0</v>
      </c>
      <c r="BI35" s="1"/>
      <c r="BJ35" s="1">
        <v>0</v>
      </c>
      <c r="BK35" s="1"/>
      <c r="BL35" s="1"/>
      <c r="BM35" s="1"/>
      <c r="BN35" s="1"/>
      <c r="BO35" s="1"/>
      <c r="BP35" s="1"/>
      <c r="BQ35" s="1"/>
      <c r="BR35" s="1">
        <v>0</v>
      </c>
      <c r="BS35" s="1"/>
      <c r="BT35" s="1"/>
      <c r="BU35" s="1"/>
      <c r="BV35" s="62"/>
      <c r="BW35" s="62"/>
      <c r="BX35" s="1">
        <v>10549</v>
      </c>
      <c r="BY35" s="27">
        <v>290000</v>
      </c>
      <c r="BZ35" s="27"/>
      <c r="CA35" s="27">
        <v>3854</v>
      </c>
      <c r="CB35" s="27"/>
      <c r="CC35" s="27"/>
      <c r="CD35" s="27"/>
      <c r="CE35" s="27"/>
      <c r="CF35" s="27"/>
      <c r="CG35" s="27"/>
      <c r="CH35" s="27"/>
      <c r="CI35" s="27"/>
      <c r="CJ35" s="75"/>
      <c r="CK35" s="75"/>
      <c r="CL35" s="1">
        <f t="shared" si="1"/>
        <v>3345857</v>
      </c>
    </row>
    <row r="36" spans="1:90" ht="71.25" customHeight="1" x14ac:dyDescent="0.95">
      <c r="A36" s="2" t="s">
        <v>26</v>
      </c>
      <c r="B36" s="95" t="s">
        <v>122</v>
      </c>
      <c r="C36" s="95"/>
      <c r="D36" s="44"/>
      <c r="E36" s="44"/>
      <c r="F36" s="44"/>
      <c r="G36" s="44"/>
      <c r="H36" s="44"/>
      <c r="I36" s="44"/>
      <c r="J36" s="44"/>
      <c r="K36" s="1">
        <v>16600</v>
      </c>
      <c r="L36" s="44"/>
      <c r="M36" s="45"/>
      <c r="N36" s="44"/>
      <c r="O36" s="44"/>
      <c r="P36" s="44"/>
      <c r="Q36" s="44"/>
      <c r="R36" s="44"/>
      <c r="S36" s="62">
        <v>200000</v>
      </c>
      <c r="T36" s="44"/>
      <c r="U36" s="44"/>
      <c r="V36" s="44"/>
      <c r="W36" s="1">
        <f t="shared" si="0"/>
        <v>216600</v>
      </c>
      <c r="X36" s="62"/>
      <c r="Y36" s="62">
        <f>5574043+1502746</f>
        <v>7076789</v>
      </c>
      <c r="Z36" s="1"/>
      <c r="AA36" s="76"/>
      <c r="AB36" s="76"/>
      <c r="AC36" s="75"/>
      <c r="AD36" s="75"/>
      <c r="AE36" s="75"/>
      <c r="AF36" s="75"/>
      <c r="AG36" s="75"/>
      <c r="AH36" s="1">
        <f t="shared" si="20"/>
        <v>0</v>
      </c>
      <c r="AI36" s="1"/>
      <c r="AJ36" s="1"/>
      <c r="AK36" s="1"/>
      <c r="AL36" s="1">
        <f t="shared" si="3"/>
        <v>1080300</v>
      </c>
      <c r="AM36" s="1"/>
      <c r="AN36" s="1"/>
      <c r="AO36" s="1">
        <v>79800</v>
      </c>
      <c r="AP36" s="26"/>
      <c r="AQ36" s="1">
        <v>1000500</v>
      </c>
      <c r="AR36" s="1">
        <f t="shared" si="4"/>
        <v>461414</v>
      </c>
      <c r="AS36" s="1">
        <f>307260+17754</f>
        <v>325014</v>
      </c>
      <c r="AT36" s="1">
        <f>162150-25750</f>
        <v>136400</v>
      </c>
      <c r="AU36" s="1">
        <f t="shared" si="19"/>
        <v>554156</v>
      </c>
      <c r="AV36" s="1">
        <f>550622+3534</f>
        <v>554156</v>
      </c>
      <c r="AW36" s="75"/>
      <c r="AX36" s="75"/>
      <c r="AY36" s="61"/>
      <c r="AZ36" s="1"/>
      <c r="BA36" s="1"/>
      <c r="BB36" s="62">
        <v>798760</v>
      </c>
      <c r="BC36" s="62">
        <f t="shared" si="6"/>
        <v>0</v>
      </c>
      <c r="BD36" s="62"/>
      <c r="BE36" s="62"/>
      <c r="BF36" s="1">
        <v>207337</v>
      </c>
      <c r="BG36" s="1">
        <v>207337</v>
      </c>
      <c r="BH36" s="1">
        <f t="shared" si="7"/>
        <v>1472454</v>
      </c>
      <c r="BI36" s="1">
        <v>642054</v>
      </c>
      <c r="BJ36" s="1">
        <v>830400</v>
      </c>
      <c r="BK36" s="1"/>
      <c r="BL36" s="1"/>
      <c r="BM36" s="1"/>
      <c r="BN36" s="1"/>
      <c r="BO36" s="1"/>
      <c r="BP36" s="1"/>
      <c r="BQ36" s="1"/>
      <c r="BR36" s="1">
        <v>0</v>
      </c>
      <c r="BS36" s="1"/>
      <c r="BT36" s="1"/>
      <c r="BU36" s="1"/>
      <c r="BV36" s="62"/>
      <c r="BW36" s="62"/>
      <c r="BX36" s="1">
        <v>8791</v>
      </c>
      <c r="BY36" s="27"/>
      <c r="BZ36" s="27"/>
      <c r="CA36" s="27">
        <v>900</v>
      </c>
      <c r="CB36" s="27"/>
      <c r="CC36" s="27"/>
      <c r="CD36" s="27"/>
      <c r="CE36" s="27"/>
      <c r="CF36" s="27"/>
      <c r="CG36" s="27"/>
      <c r="CH36" s="27"/>
      <c r="CI36" s="27"/>
      <c r="CJ36" s="75"/>
      <c r="CK36" s="75"/>
      <c r="CL36" s="1">
        <f t="shared" si="1"/>
        <v>11660901</v>
      </c>
    </row>
    <row r="37" spans="1:90" ht="71.25" customHeight="1" x14ac:dyDescent="0.95">
      <c r="A37" s="2" t="s">
        <v>27</v>
      </c>
      <c r="B37" s="95" t="s">
        <v>123</v>
      </c>
      <c r="C37" s="95"/>
      <c r="D37" s="44"/>
      <c r="E37" s="44"/>
      <c r="F37" s="44"/>
      <c r="G37" s="44"/>
      <c r="H37" s="44"/>
      <c r="I37" s="44"/>
      <c r="J37" s="44"/>
      <c r="K37" s="1">
        <v>3870</v>
      </c>
      <c r="L37" s="44"/>
      <c r="M37" s="45"/>
      <c r="N37" s="44"/>
      <c r="O37" s="44"/>
      <c r="P37" s="44"/>
      <c r="Q37" s="44"/>
      <c r="R37" s="44"/>
      <c r="S37" s="62"/>
      <c r="T37" s="44"/>
      <c r="U37" s="44"/>
      <c r="V37" s="44"/>
      <c r="W37" s="1">
        <f t="shared" si="0"/>
        <v>3870</v>
      </c>
      <c r="X37" s="62"/>
      <c r="Y37" s="62">
        <v>3049277</v>
      </c>
      <c r="Z37" s="1"/>
      <c r="AA37" s="76">
        <v>911141.28</v>
      </c>
      <c r="AB37" s="76"/>
      <c r="AC37" s="75"/>
      <c r="AD37" s="75"/>
      <c r="AE37" s="75"/>
      <c r="AF37" s="75"/>
      <c r="AG37" s="75"/>
      <c r="AH37" s="1">
        <f t="shared" si="20"/>
        <v>0</v>
      </c>
      <c r="AI37" s="1"/>
      <c r="AJ37" s="1"/>
      <c r="AK37" s="1"/>
      <c r="AL37" s="1">
        <f t="shared" si="3"/>
        <v>217260</v>
      </c>
      <c r="AM37" s="1"/>
      <c r="AN37" s="1"/>
      <c r="AO37" s="1"/>
      <c r="AP37" s="26"/>
      <c r="AQ37" s="1">
        <v>217260</v>
      </c>
      <c r="AR37" s="1">
        <f t="shared" si="4"/>
        <v>42400</v>
      </c>
      <c r="AS37" s="1">
        <f>28588+1412</f>
        <v>30000</v>
      </c>
      <c r="AT37" s="1">
        <f>15146-2746</f>
        <v>12400</v>
      </c>
      <c r="AU37" s="1">
        <f t="shared" si="19"/>
        <v>225465</v>
      </c>
      <c r="AV37" s="1">
        <f>224011+1454</f>
        <v>225465</v>
      </c>
      <c r="AW37" s="75"/>
      <c r="AX37" s="75"/>
      <c r="AY37" s="61"/>
      <c r="AZ37" s="1"/>
      <c r="BA37" s="1"/>
      <c r="BB37" s="62">
        <v>273260</v>
      </c>
      <c r="BC37" s="62">
        <f t="shared" si="6"/>
        <v>0</v>
      </c>
      <c r="BD37" s="62"/>
      <c r="BE37" s="62"/>
      <c r="BF37" s="1">
        <v>181025</v>
      </c>
      <c r="BG37" s="1">
        <v>181025</v>
      </c>
      <c r="BH37" s="1">
        <f t="shared" si="7"/>
        <v>965674</v>
      </c>
      <c r="BI37" s="1">
        <v>560574</v>
      </c>
      <c r="BJ37" s="1">
        <v>405100</v>
      </c>
      <c r="BK37" s="1"/>
      <c r="BL37" s="1"/>
      <c r="BM37" s="1"/>
      <c r="BN37" s="1"/>
      <c r="BO37" s="1"/>
      <c r="BP37" s="1"/>
      <c r="BQ37" s="1"/>
      <c r="BR37" s="1">
        <v>0</v>
      </c>
      <c r="BS37" s="1"/>
      <c r="BT37" s="1"/>
      <c r="BU37" s="1"/>
      <c r="BV37" s="62"/>
      <c r="BW37" s="62"/>
      <c r="BX37" s="1">
        <v>14065</v>
      </c>
      <c r="BY37" s="27">
        <v>500000</v>
      </c>
      <c r="BZ37" s="27"/>
      <c r="CA37" s="27">
        <v>1850</v>
      </c>
      <c r="CB37" s="27"/>
      <c r="CC37" s="27"/>
      <c r="CD37" s="27"/>
      <c r="CE37" s="27"/>
      <c r="CF37" s="27"/>
      <c r="CG37" s="27"/>
      <c r="CH37" s="27"/>
      <c r="CI37" s="27"/>
      <c r="CJ37" s="75"/>
      <c r="CK37" s="75"/>
      <c r="CL37" s="1">
        <f t="shared" si="1"/>
        <v>6381417.2800000003</v>
      </c>
    </row>
    <row r="38" spans="1:90" ht="71.25" customHeight="1" x14ac:dyDescent="0.95">
      <c r="A38" s="2" t="s">
        <v>28</v>
      </c>
      <c r="B38" s="95" t="s">
        <v>124</v>
      </c>
      <c r="C38" s="95"/>
      <c r="D38" s="44"/>
      <c r="E38" s="44"/>
      <c r="F38" s="44"/>
      <c r="G38" s="44"/>
      <c r="H38" s="44"/>
      <c r="I38" s="44"/>
      <c r="J38" s="44"/>
      <c r="K38" s="1">
        <v>31200</v>
      </c>
      <c r="L38" s="44"/>
      <c r="M38" s="45"/>
      <c r="N38" s="44"/>
      <c r="O38" s="44"/>
      <c r="P38" s="44"/>
      <c r="Q38" s="44"/>
      <c r="R38" s="44"/>
      <c r="S38" s="62">
        <v>200000</v>
      </c>
      <c r="T38" s="44"/>
      <c r="U38" s="44"/>
      <c r="V38" s="44"/>
      <c r="W38" s="1">
        <f t="shared" si="0"/>
        <v>231200</v>
      </c>
      <c r="X38" s="62"/>
      <c r="Y38" s="62">
        <v>12037866</v>
      </c>
      <c r="Z38" s="1"/>
      <c r="AA38" s="76"/>
      <c r="AB38" s="76"/>
      <c r="AC38" s="75"/>
      <c r="AD38" s="75"/>
      <c r="AE38" s="75"/>
      <c r="AF38" s="75"/>
      <c r="AG38" s="75"/>
      <c r="AH38" s="1">
        <f t="shared" si="20"/>
        <v>1492231</v>
      </c>
      <c r="AI38" s="1">
        <v>1492231</v>
      </c>
      <c r="AJ38" s="1"/>
      <c r="AK38" s="1"/>
      <c r="AL38" s="1">
        <f t="shared" si="3"/>
        <v>1782740</v>
      </c>
      <c r="AM38" s="1"/>
      <c r="AN38" s="1"/>
      <c r="AO38" s="1"/>
      <c r="AP38" s="26"/>
      <c r="AQ38" s="1">
        <v>1782740</v>
      </c>
      <c r="AR38" s="1">
        <f t="shared" si="4"/>
        <v>84800</v>
      </c>
      <c r="AS38" s="1">
        <f>57176+2824</f>
        <v>60000</v>
      </c>
      <c r="AT38" s="1">
        <f>30292-5492</f>
        <v>24800</v>
      </c>
      <c r="AU38" s="1">
        <f t="shared" si="19"/>
        <v>1221337</v>
      </c>
      <c r="AV38" s="1">
        <f>1213503+7834</f>
        <v>1221337</v>
      </c>
      <c r="AW38" s="75"/>
      <c r="AX38" s="75"/>
      <c r="AY38" s="61"/>
      <c r="AZ38" s="1"/>
      <c r="BA38" s="1"/>
      <c r="BB38" s="62">
        <v>1051000</v>
      </c>
      <c r="BC38" s="62">
        <f t="shared" si="6"/>
        <v>0</v>
      </c>
      <c r="BD38" s="62"/>
      <c r="BE38" s="62"/>
      <c r="BF38" s="1">
        <v>228387</v>
      </c>
      <c r="BG38" s="1">
        <v>228387</v>
      </c>
      <c r="BH38" s="1">
        <f t="shared" si="7"/>
        <v>1114338</v>
      </c>
      <c r="BI38" s="1">
        <v>707238</v>
      </c>
      <c r="BJ38" s="1">
        <v>407100</v>
      </c>
      <c r="BK38" s="1"/>
      <c r="BL38" s="1"/>
      <c r="BM38" s="1"/>
      <c r="BN38" s="1"/>
      <c r="BO38" s="1"/>
      <c r="BP38" s="1"/>
      <c r="BQ38" s="1"/>
      <c r="BR38" s="1">
        <v>0</v>
      </c>
      <c r="BS38" s="1"/>
      <c r="BT38" s="1"/>
      <c r="BU38" s="1"/>
      <c r="BV38" s="62"/>
      <c r="BW38" s="62"/>
      <c r="BX38" s="1">
        <v>22416</v>
      </c>
      <c r="BY38" s="27">
        <f>300000+80000</f>
        <v>380000</v>
      </c>
      <c r="BZ38" s="27"/>
      <c r="CA38" s="27">
        <v>950</v>
      </c>
      <c r="CB38" s="27"/>
      <c r="CC38" s="27"/>
      <c r="CD38" s="27"/>
      <c r="CE38" s="27"/>
      <c r="CF38" s="27"/>
      <c r="CG38" s="27"/>
      <c r="CH38" s="27"/>
      <c r="CI38" s="27"/>
      <c r="CJ38" s="75"/>
      <c r="CK38" s="75"/>
      <c r="CL38" s="1">
        <f t="shared" si="1"/>
        <v>19416065</v>
      </c>
    </row>
    <row r="39" spans="1:90" ht="71.25" customHeight="1" x14ac:dyDescent="0.95">
      <c r="A39" s="2" t="s">
        <v>29</v>
      </c>
      <c r="B39" s="95" t="s">
        <v>125</v>
      </c>
      <c r="C39" s="95"/>
      <c r="D39" s="44"/>
      <c r="E39" s="44"/>
      <c r="F39" s="44"/>
      <c r="G39" s="44"/>
      <c r="H39" s="44"/>
      <c r="I39" s="44"/>
      <c r="J39" s="44"/>
      <c r="K39" s="1">
        <v>1700</v>
      </c>
      <c r="L39" s="44"/>
      <c r="M39" s="45"/>
      <c r="N39" s="44"/>
      <c r="O39" s="44"/>
      <c r="P39" s="44"/>
      <c r="Q39" s="44"/>
      <c r="R39" s="44"/>
      <c r="S39" s="62"/>
      <c r="T39" s="44"/>
      <c r="U39" s="44"/>
      <c r="V39" s="44"/>
      <c r="W39" s="1">
        <f t="shared" si="0"/>
        <v>1700</v>
      </c>
      <c r="X39" s="62"/>
      <c r="Y39" s="62">
        <v>561345</v>
      </c>
      <c r="Z39" s="1"/>
      <c r="AA39" s="76"/>
      <c r="AB39" s="76"/>
      <c r="AC39" s="76">
        <v>911141.28</v>
      </c>
      <c r="AD39" s="76"/>
      <c r="AE39" s="76"/>
      <c r="AF39" s="75"/>
      <c r="AG39" s="75"/>
      <c r="AH39" s="1">
        <f t="shared" si="20"/>
        <v>0</v>
      </c>
      <c r="AI39" s="1"/>
      <c r="AJ39" s="1"/>
      <c r="AK39" s="1"/>
      <c r="AL39" s="1">
        <f t="shared" si="3"/>
        <v>0</v>
      </c>
      <c r="AM39" s="1"/>
      <c r="AN39" s="1"/>
      <c r="AO39" s="1"/>
      <c r="AP39" s="26"/>
      <c r="AQ39" s="1"/>
      <c r="AR39" s="1">
        <f t="shared" si="4"/>
        <v>0</v>
      </c>
      <c r="AS39" s="1"/>
      <c r="AT39" s="1"/>
      <c r="AU39" s="1">
        <f t="shared" si="19"/>
        <v>117489</v>
      </c>
      <c r="AV39" s="1">
        <f>116710+779</f>
        <v>117489</v>
      </c>
      <c r="AW39" s="76"/>
      <c r="AX39" s="76"/>
      <c r="AY39" s="61"/>
      <c r="AZ39" s="1"/>
      <c r="BA39" s="1"/>
      <c r="BB39" s="62"/>
      <c r="BC39" s="62">
        <f t="shared" si="6"/>
        <v>0</v>
      </c>
      <c r="BD39" s="62"/>
      <c r="BE39" s="62"/>
      <c r="BF39" s="1"/>
      <c r="BG39" s="1"/>
      <c r="BH39" s="1">
        <f t="shared" si="7"/>
        <v>0</v>
      </c>
      <c r="BI39" s="1"/>
      <c r="BJ39" s="1">
        <v>0</v>
      </c>
      <c r="BK39" s="1"/>
      <c r="BL39" s="1"/>
      <c r="BM39" s="1"/>
      <c r="BN39" s="1"/>
      <c r="BO39" s="1"/>
      <c r="BP39" s="1"/>
      <c r="BQ39" s="1"/>
      <c r="BR39" s="1">
        <v>0</v>
      </c>
      <c r="BS39" s="1"/>
      <c r="BT39" s="1"/>
      <c r="BU39" s="1"/>
      <c r="BV39" s="62">
        <v>2412</v>
      </c>
      <c r="BW39" s="62"/>
      <c r="BX39" s="1">
        <v>11428</v>
      </c>
      <c r="BY39" s="27">
        <v>400000</v>
      </c>
      <c r="BZ39" s="27"/>
      <c r="CA39" s="27">
        <v>1600</v>
      </c>
      <c r="CB39" s="27"/>
      <c r="CC39" s="27"/>
      <c r="CD39" s="27"/>
      <c r="CE39" s="27"/>
      <c r="CF39" s="27"/>
      <c r="CG39" s="27"/>
      <c r="CH39" s="27"/>
      <c r="CI39" s="27"/>
      <c r="CJ39" s="75"/>
      <c r="CK39" s="75"/>
      <c r="CL39" s="1">
        <f t="shared" si="1"/>
        <v>2005415.2800000003</v>
      </c>
    </row>
    <row r="40" spans="1:90" ht="71.25" customHeight="1" x14ac:dyDescent="0.95">
      <c r="A40" s="2" t="s">
        <v>30</v>
      </c>
      <c r="B40" s="95" t="s">
        <v>126</v>
      </c>
      <c r="C40" s="95"/>
      <c r="D40" s="44"/>
      <c r="E40" s="44"/>
      <c r="F40" s="44"/>
      <c r="G40" s="44"/>
      <c r="H40" s="44"/>
      <c r="I40" s="44"/>
      <c r="J40" s="44"/>
      <c r="K40" s="1">
        <v>15700</v>
      </c>
      <c r="L40" s="44"/>
      <c r="M40" s="45"/>
      <c r="N40" s="44"/>
      <c r="O40" s="44"/>
      <c r="P40" s="44"/>
      <c r="Q40" s="44"/>
      <c r="R40" s="44"/>
      <c r="S40" s="62">
        <v>200000</v>
      </c>
      <c r="T40" s="44"/>
      <c r="U40" s="44"/>
      <c r="V40" s="44"/>
      <c r="W40" s="1">
        <f t="shared" si="0"/>
        <v>215700</v>
      </c>
      <c r="X40" s="62"/>
      <c r="Y40" s="62">
        <v>5916120</v>
      </c>
      <c r="Z40" s="1"/>
      <c r="AA40" s="76"/>
      <c r="AB40" s="76"/>
      <c r="AC40" s="76">
        <v>825535.14</v>
      </c>
      <c r="AD40" s="76"/>
      <c r="AE40" s="76"/>
      <c r="AF40" s="75"/>
      <c r="AG40" s="75"/>
      <c r="AH40" s="1">
        <f t="shared" si="20"/>
        <v>0</v>
      </c>
      <c r="AI40" s="1"/>
      <c r="AJ40" s="1"/>
      <c r="AK40" s="1"/>
      <c r="AL40" s="1">
        <f t="shared" si="3"/>
        <v>0</v>
      </c>
      <c r="AM40" s="1"/>
      <c r="AN40" s="1"/>
      <c r="AO40" s="1"/>
      <c r="AP40" s="26"/>
      <c r="AQ40" s="1"/>
      <c r="AR40" s="1">
        <f t="shared" si="4"/>
        <v>233200</v>
      </c>
      <c r="AS40" s="1">
        <f>157234+7766</f>
        <v>165000</v>
      </c>
      <c r="AT40" s="1">
        <f>83303-15103</f>
        <v>68200</v>
      </c>
      <c r="AU40" s="1">
        <f t="shared" si="19"/>
        <v>892878</v>
      </c>
      <c r="AV40" s="1">
        <f>886971+5907</f>
        <v>892878</v>
      </c>
      <c r="AW40" s="76">
        <f>174825-174825</f>
        <v>0</v>
      </c>
      <c r="AX40" s="76"/>
      <c r="AY40" s="61"/>
      <c r="AZ40" s="1"/>
      <c r="BA40" s="1"/>
      <c r="BB40" s="62">
        <v>777740</v>
      </c>
      <c r="BC40" s="62">
        <f t="shared" si="6"/>
        <v>0</v>
      </c>
      <c r="BD40" s="62"/>
      <c r="BE40" s="62"/>
      <c r="BF40" s="1"/>
      <c r="BG40" s="1"/>
      <c r="BH40" s="1">
        <f t="shared" si="7"/>
        <v>0</v>
      </c>
      <c r="BI40" s="1"/>
      <c r="BJ40" s="1">
        <v>0</v>
      </c>
      <c r="BK40" s="1"/>
      <c r="BL40" s="1"/>
      <c r="BM40" s="1"/>
      <c r="BN40" s="1"/>
      <c r="BO40" s="1"/>
      <c r="BP40" s="1"/>
      <c r="BQ40" s="1"/>
      <c r="BR40" s="1">
        <v>0</v>
      </c>
      <c r="BS40" s="1"/>
      <c r="BT40" s="1"/>
      <c r="BU40" s="1"/>
      <c r="BV40" s="62">
        <f>14267-14267</f>
        <v>0</v>
      </c>
      <c r="BW40" s="62"/>
      <c r="BX40" s="1">
        <v>16702</v>
      </c>
      <c r="BY40" s="27">
        <v>620000</v>
      </c>
      <c r="BZ40" s="27"/>
      <c r="CA40" s="27">
        <v>3350</v>
      </c>
      <c r="CB40" s="27">
        <v>1500000</v>
      </c>
      <c r="CC40" s="27"/>
      <c r="CD40" s="27"/>
      <c r="CE40" s="27"/>
      <c r="CF40" s="27">
        <v>200000</v>
      </c>
      <c r="CG40" s="27"/>
      <c r="CH40" s="27"/>
      <c r="CI40" s="27"/>
      <c r="CJ40" s="75"/>
      <c r="CK40" s="75"/>
      <c r="CL40" s="1">
        <f t="shared" si="1"/>
        <v>10985525.140000001</v>
      </c>
    </row>
    <row r="41" spans="1:90" ht="71.25" customHeight="1" x14ac:dyDescent="0.95">
      <c r="A41" s="2" t="s">
        <v>31</v>
      </c>
      <c r="B41" s="95" t="s">
        <v>127</v>
      </c>
      <c r="C41" s="95"/>
      <c r="D41" s="44"/>
      <c r="E41" s="44"/>
      <c r="F41" s="44"/>
      <c r="G41" s="44"/>
      <c r="H41" s="44"/>
      <c r="I41" s="44"/>
      <c r="J41" s="44"/>
      <c r="K41" s="1">
        <v>4500</v>
      </c>
      <c r="L41" s="44"/>
      <c r="M41" s="45"/>
      <c r="N41" s="44"/>
      <c r="O41" s="44"/>
      <c r="P41" s="44"/>
      <c r="Q41" s="44"/>
      <c r="R41" s="44"/>
      <c r="S41" s="62"/>
      <c r="T41" s="44"/>
      <c r="U41" s="44"/>
      <c r="V41" s="44"/>
      <c r="W41" s="1">
        <f t="shared" si="0"/>
        <v>4500</v>
      </c>
      <c r="X41" s="62"/>
      <c r="Y41" s="62">
        <f>863863+948379</f>
        <v>1812242</v>
      </c>
      <c r="Z41" s="1"/>
      <c r="AA41" s="76"/>
      <c r="AB41" s="76"/>
      <c r="AC41" s="76"/>
      <c r="AD41" s="76"/>
      <c r="AE41" s="76"/>
      <c r="AF41" s="75"/>
      <c r="AG41" s="75"/>
      <c r="AH41" s="1">
        <f t="shared" si="20"/>
        <v>0</v>
      </c>
      <c r="AI41" s="1"/>
      <c r="AJ41" s="1"/>
      <c r="AK41" s="1"/>
      <c r="AL41" s="1">
        <f t="shared" si="3"/>
        <v>0</v>
      </c>
      <c r="AM41" s="1"/>
      <c r="AN41" s="1"/>
      <c r="AO41" s="1"/>
      <c r="AP41" s="26"/>
      <c r="AQ41" s="1"/>
      <c r="AR41" s="1">
        <f t="shared" si="4"/>
        <v>0</v>
      </c>
      <c r="AS41" s="1"/>
      <c r="AT41" s="1"/>
      <c r="AU41" s="1">
        <f t="shared" si="19"/>
        <v>329587</v>
      </c>
      <c r="AV41" s="1">
        <f>327391+2196</f>
        <v>329587</v>
      </c>
      <c r="AW41" s="76"/>
      <c r="AX41" s="76"/>
      <c r="AY41" s="61"/>
      <c r="AZ41" s="1"/>
      <c r="BA41" s="1"/>
      <c r="BB41" s="62">
        <v>252240</v>
      </c>
      <c r="BC41" s="62">
        <f t="shared" si="6"/>
        <v>0</v>
      </c>
      <c r="BD41" s="62"/>
      <c r="BE41" s="62"/>
      <c r="BF41" s="1"/>
      <c r="BG41" s="1"/>
      <c r="BH41" s="1">
        <f t="shared" si="7"/>
        <v>0</v>
      </c>
      <c r="BI41" s="1"/>
      <c r="BJ41" s="1">
        <v>0</v>
      </c>
      <c r="BK41" s="1"/>
      <c r="BL41" s="1"/>
      <c r="BM41" s="1"/>
      <c r="BN41" s="1"/>
      <c r="BO41" s="1"/>
      <c r="BP41" s="1"/>
      <c r="BQ41" s="1"/>
      <c r="BR41" s="1">
        <v>0</v>
      </c>
      <c r="BS41" s="1"/>
      <c r="BT41" s="1"/>
      <c r="BU41" s="1"/>
      <c r="BV41" s="62"/>
      <c r="BW41" s="62"/>
      <c r="BX41" s="1">
        <v>11867</v>
      </c>
      <c r="BY41" s="27">
        <v>300000</v>
      </c>
      <c r="BZ41" s="27"/>
      <c r="CA41" s="27">
        <v>4300</v>
      </c>
      <c r="CB41" s="27"/>
      <c r="CC41" s="27"/>
      <c r="CD41" s="27"/>
      <c r="CE41" s="27"/>
      <c r="CF41" s="27"/>
      <c r="CG41" s="27"/>
      <c r="CH41" s="27"/>
      <c r="CI41" s="27"/>
      <c r="CJ41" s="75"/>
      <c r="CK41" s="75"/>
      <c r="CL41" s="1">
        <f t="shared" si="1"/>
        <v>2710236</v>
      </c>
    </row>
    <row r="42" spans="1:90" ht="71.25" customHeight="1" x14ac:dyDescent="0.95">
      <c r="A42" s="2" t="s">
        <v>32</v>
      </c>
      <c r="B42" s="95" t="s">
        <v>128</v>
      </c>
      <c r="C42" s="95"/>
      <c r="D42" s="44"/>
      <c r="E42" s="44"/>
      <c r="F42" s="44"/>
      <c r="G42" s="44"/>
      <c r="H42" s="44"/>
      <c r="I42" s="44"/>
      <c r="J42" s="44"/>
      <c r="K42" s="1">
        <v>600</v>
      </c>
      <c r="L42" s="44"/>
      <c r="M42" s="45">
        <v>70000</v>
      </c>
      <c r="N42" s="44"/>
      <c r="O42" s="44"/>
      <c r="P42" s="44"/>
      <c r="Q42" s="44"/>
      <c r="R42" s="44"/>
      <c r="S42" s="44"/>
      <c r="T42" s="44"/>
      <c r="U42" s="44"/>
      <c r="V42" s="44"/>
      <c r="W42" s="1">
        <f t="shared" si="0"/>
        <v>70600</v>
      </c>
      <c r="X42" s="62"/>
      <c r="Y42" s="62">
        <v>208108</v>
      </c>
      <c r="Z42" s="1"/>
      <c r="AA42" s="76"/>
      <c r="AB42" s="76"/>
      <c r="AC42" s="76"/>
      <c r="AD42" s="76"/>
      <c r="AE42" s="76"/>
      <c r="AF42" s="75"/>
      <c r="AG42" s="75"/>
      <c r="AH42" s="1">
        <f>AI42+AJ42+AK42</f>
        <v>492800</v>
      </c>
      <c r="AI42" s="1"/>
      <c r="AJ42" s="1"/>
      <c r="AK42" s="1">
        <v>492800</v>
      </c>
      <c r="AL42" s="1">
        <f t="shared" si="3"/>
        <v>0</v>
      </c>
      <c r="AM42" s="1"/>
      <c r="AN42" s="1"/>
      <c r="AO42" s="1"/>
      <c r="AP42" s="26"/>
      <c r="AQ42" s="1"/>
      <c r="AR42" s="1">
        <f t="shared" si="4"/>
        <v>0</v>
      </c>
      <c r="AS42" s="1"/>
      <c r="AT42" s="1"/>
      <c r="AU42" s="1">
        <f t="shared" si="19"/>
        <v>56792</v>
      </c>
      <c r="AV42" s="1">
        <f>56414+378</f>
        <v>56792</v>
      </c>
      <c r="AW42" s="76"/>
      <c r="AX42" s="76"/>
      <c r="AY42" s="61"/>
      <c r="AZ42" s="1"/>
      <c r="BA42" s="1"/>
      <c r="BB42" s="62"/>
      <c r="BC42" s="62">
        <f t="shared" si="6"/>
        <v>0</v>
      </c>
      <c r="BD42" s="62"/>
      <c r="BE42" s="62"/>
      <c r="BF42" s="1"/>
      <c r="BG42" s="1"/>
      <c r="BH42" s="1">
        <f t="shared" si="7"/>
        <v>0</v>
      </c>
      <c r="BI42" s="1"/>
      <c r="BJ42" s="1">
        <v>0</v>
      </c>
      <c r="BK42" s="1"/>
      <c r="BL42" s="1"/>
      <c r="BM42" s="1"/>
      <c r="BN42" s="1"/>
      <c r="BO42" s="1"/>
      <c r="BP42" s="1"/>
      <c r="BQ42" s="1"/>
      <c r="BR42" s="1">
        <v>0</v>
      </c>
      <c r="BS42" s="1"/>
      <c r="BT42" s="1"/>
      <c r="BU42" s="1"/>
      <c r="BV42" s="62"/>
      <c r="BW42" s="62"/>
      <c r="BX42" s="1">
        <v>10549</v>
      </c>
      <c r="BY42" s="27"/>
      <c r="BZ42" s="27"/>
      <c r="CA42" s="27">
        <v>900</v>
      </c>
      <c r="CB42" s="27"/>
      <c r="CC42" s="27"/>
      <c r="CD42" s="27"/>
      <c r="CE42" s="27"/>
      <c r="CF42" s="27"/>
      <c r="CG42" s="27"/>
      <c r="CH42" s="27"/>
      <c r="CI42" s="27"/>
      <c r="CJ42" s="75"/>
      <c r="CK42" s="75"/>
      <c r="CL42" s="1">
        <f t="shared" si="1"/>
        <v>769149</v>
      </c>
    </row>
    <row r="43" spans="1:90" ht="71.25" customHeight="1" x14ac:dyDescent="0.95">
      <c r="A43" s="2" t="s">
        <v>33</v>
      </c>
      <c r="B43" s="95" t="s">
        <v>129</v>
      </c>
      <c r="C43" s="95"/>
      <c r="D43" s="44"/>
      <c r="E43" s="44"/>
      <c r="F43" s="44"/>
      <c r="G43" s="44"/>
      <c r="H43" s="44"/>
      <c r="I43" s="44"/>
      <c r="J43" s="44"/>
      <c r="K43" s="62">
        <v>2600</v>
      </c>
      <c r="L43" s="44"/>
      <c r="M43" s="45"/>
      <c r="N43" s="44"/>
      <c r="O43" s="44"/>
      <c r="P43" s="44"/>
      <c r="Q43" s="44"/>
      <c r="R43" s="44"/>
      <c r="S43" s="44"/>
      <c r="T43" s="44"/>
      <c r="U43" s="44"/>
      <c r="V43" s="44"/>
      <c r="W43" s="1">
        <f t="shared" si="0"/>
        <v>2600</v>
      </c>
      <c r="X43" s="62"/>
      <c r="Y43" s="62">
        <v>360315</v>
      </c>
      <c r="Z43" s="1"/>
      <c r="AA43" s="76"/>
      <c r="AB43" s="76"/>
      <c r="AC43" s="76"/>
      <c r="AD43" s="76"/>
      <c r="AE43" s="76"/>
      <c r="AF43" s="75"/>
      <c r="AG43" s="75"/>
      <c r="AH43" s="1">
        <f t="shared" ref="AH43:AH45" si="21">AI43+AJ43+AK43</f>
        <v>0</v>
      </c>
      <c r="AI43" s="1"/>
      <c r="AJ43" s="1"/>
      <c r="AK43" s="1"/>
      <c r="AL43" s="1">
        <f t="shared" si="3"/>
        <v>0</v>
      </c>
      <c r="AM43" s="1"/>
      <c r="AN43" s="1"/>
      <c r="AO43" s="1"/>
      <c r="AP43" s="26"/>
      <c r="AQ43" s="1"/>
      <c r="AR43" s="1">
        <f t="shared" si="4"/>
        <v>0</v>
      </c>
      <c r="AS43" s="1"/>
      <c r="AT43" s="1"/>
      <c r="AU43" s="1">
        <f t="shared" si="19"/>
        <v>117489</v>
      </c>
      <c r="AV43" s="1">
        <f>116710+779</f>
        <v>117489</v>
      </c>
      <c r="AW43" s="76"/>
      <c r="AX43" s="76"/>
      <c r="AY43" s="61"/>
      <c r="AZ43" s="1"/>
      <c r="BA43" s="1"/>
      <c r="BB43" s="62">
        <v>126120</v>
      </c>
      <c r="BC43" s="62">
        <f t="shared" si="6"/>
        <v>0</v>
      </c>
      <c r="BD43" s="62"/>
      <c r="BE43" s="62"/>
      <c r="BF43" s="1"/>
      <c r="BG43" s="1"/>
      <c r="BH43" s="1">
        <f t="shared" si="7"/>
        <v>0</v>
      </c>
      <c r="BI43" s="1"/>
      <c r="BJ43" s="1">
        <v>0</v>
      </c>
      <c r="BK43" s="1"/>
      <c r="BL43" s="1"/>
      <c r="BM43" s="1"/>
      <c r="BN43" s="1"/>
      <c r="BO43" s="1"/>
      <c r="BP43" s="1"/>
      <c r="BQ43" s="1"/>
      <c r="BR43" s="1">
        <v>0</v>
      </c>
      <c r="BS43" s="1"/>
      <c r="BT43" s="1"/>
      <c r="BU43" s="1"/>
      <c r="BV43" s="62"/>
      <c r="BW43" s="62"/>
      <c r="BX43" s="1">
        <v>9230</v>
      </c>
      <c r="BY43" s="27">
        <v>297000</v>
      </c>
      <c r="BZ43" s="27"/>
      <c r="CA43" s="27">
        <v>1104</v>
      </c>
      <c r="CB43" s="27"/>
      <c r="CC43" s="27"/>
      <c r="CD43" s="27"/>
      <c r="CE43" s="27"/>
      <c r="CF43" s="27"/>
      <c r="CG43" s="27"/>
      <c r="CH43" s="27"/>
      <c r="CI43" s="27"/>
      <c r="CJ43" s="75"/>
      <c r="CK43" s="75"/>
      <c r="CL43" s="1">
        <f t="shared" si="1"/>
        <v>911258</v>
      </c>
    </row>
    <row r="44" spans="1:90" ht="74.25" customHeight="1" x14ac:dyDescent="0.95">
      <c r="A44" s="2" t="s">
        <v>34</v>
      </c>
      <c r="B44" s="95" t="s">
        <v>130</v>
      </c>
      <c r="C44" s="95"/>
      <c r="D44" s="44"/>
      <c r="E44" s="44"/>
      <c r="F44" s="44"/>
      <c r="G44" s="44"/>
      <c r="H44" s="44"/>
      <c r="I44" s="44"/>
      <c r="J44" s="44"/>
      <c r="K44" s="62">
        <v>1400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1">
        <f t="shared" ref="W44:W75" si="22">SUM(D44:T44)+V44+U44</f>
        <v>1400</v>
      </c>
      <c r="X44" s="62"/>
      <c r="Y44" s="62">
        <f>9764+107408</f>
        <v>117172</v>
      </c>
      <c r="Z44" s="1"/>
      <c r="AA44" s="76"/>
      <c r="AB44" s="76"/>
      <c r="AC44" s="76"/>
      <c r="AD44" s="76"/>
      <c r="AE44" s="76"/>
      <c r="AF44" s="75"/>
      <c r="AG44" s="75"/>
      <c r="AH44" s="1">
        <f t="shared" si="21"/>
        <v>0</v>
      </c>
      <c r="AI44" s="1"/>
      <c r="AJ44" s="1"/>
      <c r="AK44" s="1"/>
      <c r="AL44" s="1">
        <f t="shared" si="3"/>
        <v>0</v>
      </c>
      <c r="AM44" s="1"/>
      <c r="AN44" s="1"/>
      <c r="AO44" s="1"/>
      <c r="AP44" s="26"/>
      <c r="AQ44" s="1"/>
      <c r="AR44" s="1">
        <f t="shared" si="4"/>
        <v>0</v>
      </c>
      <c r="AS44" s="1"/>
      <c r="AT44" s="1"/>
      <c r="AU44" s="1">
        <f t="shared" si="19"/>
        <v>61673</v>
      </c>
      <c r="AV44" s="1">
        <f>61267+406</f>
        <v>61673</v>
      </c>
      <c r="AW44" s="76"/>
      <c r="AX44" s="76"/>
      <c r="AY44" s="61"/>
      <c r="AZ44" s="1"/>
      <c r="BA44" s="1"/>
      <c r="BB44" s="62"/>
      <c r="BC44" s="62">
        <f t="shared" si="6"/>
        <v>0</v>
      </c>
      <c r="BD44" s="62"/>
      <c r="BE44" s="62"/>
      <c r="BF44" s="1">
        <v>122087</v>
      </c>
      <c r="BG44" s="1">
        <v>122087</v>
      </c>
      <c r="BH44" s="1">
        <f t="shared" si="7"/>
        <v>1082963</v>
      </c>
      <c r="BI44" s="1">
        <v>378063</v>
      </c>
      <c r="BJ44" s="1">
        <v>704900</v>
      </c>
      <c r="BK44" s="1"/>
      <c r="BL44" s="1"/>
      <c r="BM44" s="1"/>
      <c r="BN44" s="1"/>
      <c r="BO44" s="1"/>
      <c r="BP44" s="1"/>
      <c r="BQ44" s="1"/>
      <c r="BR44" s="1">
        <v>0</v>
      </c>
      <c r="BS44" s="1"/>
      <c r="BT44" s="1"/>
      <c r="BU44" s="1"/>
      <c r="BV44" s="62">
        <v>6983</v>
      </c>
      <c r="BW44" s="62"/>
      <c r="BX44" s="1">
        <v>11867</v>
      </c>
      <c r="BY44" s="27">
        <f>200000+435000-30000</f>
        <v>605000</v>
      </c>
      <c r="BZ44" s="27"/>
      <c r="CA44" s="27">
        <v>5804</v>
      </c>
      <c r="CB44" s="27"/>
      <c r="CC44" s="27"/>
      <c r="CD44" s="27"/>
      <c r="CE44" s="27"/>
      <c r="CF44" s="27"/>
      <c r="CG44" s="27"/>
      <c r="CH44" s="27"/>
      <c r="CI44" s="27"/>
      <c r="CJ44" s="75"/>
      <c r="CK44" s="75"/>
      <c r="CL44" s="1">
        <f t="shared" ref="CL44:CL75" si="23">SUM(X44:CK44)-AI44-AJ44-AK44-AM44-AN44-AO44-AP44-AQ44-AS44-AT44-AV44-AW44-AY44-BG44-BI44-BJ44-BM44-BC44</f>
        <v>2013549</v>
      </c>
    </row>
    <row r="45" spans="1:90" ht="74.25" customHeight="1" x14ac:dyDescent="0.95">
      <c r="A45" s="2" t="s">
        <v>35</v>
      </c>
      <c r="B45" s="95" t="s">
        <v>131</v>
      </c>
      <c r="C45" s="95"/>
      <c r="D45" s="44"/>
      <c r="E45" s="44"/>
      <c r="F45" s="44"/>
      <c r="G45" s="44"/>
      <c r="H45" s="44"/>
      <c r="I45" s="44"/>
      <c r="J45" s="44"/>
      <c r="K45" s="62">
        <v>4100</v>
      </c>
      <c r="L45" s="62"/>
      <c r="M45" s="62"/>
      <c r="N45" s="62"/>
      <c r="O45" s="62"/>
      <c r="P45" s="62"/>
      <c r="Q45" s="62"/>
      <c r="R45" s="62"/>
      <c r="S45" s="62">
        <v>200000</v>
      </c>
      <c r="T45" s="62"/>
      <c r="U45" s="62"/>
      <c r="V45" s="62"/>
      <c r="W45" s="1">
        <f t="shared" si="22"/>
        <v>204100</v>
      </c>
      <c r="X45" s="62"/>
      <c r="Y45" s="62">
        <v>1829317</v>
      </c>
      <c r="Z45" s="1"/>
      <c r="AA45" s="76"/>
      <c r="AB45" s="76"/>
      <c r="AC45" s="76"/>
      <c r="AD45" s="76"/>
      <c r="AE45" s="76"/>
      <c r="AF45" s="75"/>
      <c r="AG45" s="75"/>
      <c r="AH45" s="1">
        <f t="shared" si="21"/>
        <v>0</v>
      </c>
      <c r="AI45" s="1"/>
      <c r="AJ45" s="1"/>
      <c r="AK45" s="1"/>
      <c r="AL45" s="1">
        <f t="shared" si="3"/>
        <v>0</v>
      </c>
      <c r="AM45" s="1"/>
      <c r="AN45" s="1"/>
      <c r="AO45" s="1"/>
      <c r="AP45" s="26"/>
      <c r="AQ45" s="1"/>
      <c r="AR45" s="1">
        <f t="shared" si="4"/>
        <v>0</v>
      </c>
      <c r="AS45" s="1"/>
      <c r="AT45" s="1"/>
      <c r="AU45" s="1">
        <f>AV45+AW45+AY45</f>
        <v>258832</v>
      </c>
      <c r="AV45" s="1">
        <f>257128+1704</f>
        <v>258832</v>
      </c>
      <c r="AW45" s="76"/>
      <c r="AX45" s="76"/>
      <c r="AY45" s="61"/>
      <c r="AZ45" s="1"/>
      <c r="BA45" s="1"/>
      <c r="BB45" s="62">
        <v>378360</v>
      </c>
      <c r="BC45" s="62">
        <f t="shared" si="6"/>
        <v>0</v>
      </c>
      <c r="BD45" s="62"/>
      <c r="BE45" s="62"/>
      <c r="BF45" s="1"/>
      <c r="BG45" s="1"/>
      <c r="BH45" s="1">
        <f t="shared" si="7"/>
        <v>0</v>
      </c>
      <c r="BI45" s="1"/>
      <c r="BJ45" s="1"/>
      <c r="BK45" s="1"/>
      <c r="BL45" s="1"/>
      <c r="BM45" s="1"/>
      <c r="BN45" s="1"/>
      <c r="BO45" s="1"/>
      <c r="BP45" s="1"/>
      <c r="BQ45" s="1"/>
      <c r="BR45" s="1">
        <v>0</v>
      </c>
      <c r="BS45" s="1"/>
      <c r="BT45" s="1"/>
      <c r="BU45" s="1"/>
      <c r="BV45" s="62"/>
      <c r="BW45" s="62"/>
      <c r="BX45" s="1">
        <v>2198</v>
      </c>
      <c r="BY45" s="27"/>
      <c r="BZ45" s="27"/>
      <c r="CA45" s="27">
        <v>22512</v>
      </c>
      <c r="CB45" s="27"/>
      <c r="CC45" s="27"/>
      <c r="CD45" s="27"/>
      <c r="CE45" s="27"/>
      <c r="CF45" s="27"/>
      <c r="CG45" s="27"/>
      <c r="CH45" s="27"/>
      <c r="CI45" s="27">
        <v>3500000</v>
      </c>
      <c r="CJ45" s="75"/>
      <c r="CK45" s="75"/>
      <c r="CL45" s="1">
        <f t="shared" si="23"/>
        <v>5991219</v>
      </c>
    </row>
    <row r="46" spans="1:90" ht="74.25" customHeight="1" x14ac:dyDescent="0.95">
      <c r="A46" s="2"/>
      <c r="B46" s="95" t="s">
        <v>193</v>
      </c>
      <c r="C46" s="95"/>
      <c r="D46" s="62">
        <f t="shared" ref="D46:F46" si="24">SUM(D25:D45)</f>
        <v>0</v>
      </c>
      <c r="E46" s="62">
        <f t="shared" si="24"/>
        <v>0</v>
      </c>
      <c r="F46" s="62">
        <f t="shared" si="24"/>
        <v>0</v>
      </c>
      <c r="G46" s="62">
        <f>SUM(G25:G45)</f>
        <v>1000000</v>
      </c>
      <c r="H46" s="62">
        <f>SUM(H25:H45)</f>
        <v>553000</v>
      </c>
      <c r="I46" s="62">
        <f t="shared" ref="I46:J46" si="25">SUM(I24:I45)</f>
        <v>5000000</v>
      </c>
      <c r="J46" s="62">
        <f t="shared" si="25"/>
        <v>0</v>
      </c>
      <c r="K46" s="62">
        <f t="shared" ref="K46:V46" si="26">SUM(K24:K45)</f>
        <v>312170</v>
      </c>
      <c r="L46" s="62">
        <f t="shared" si="26"/>
        <v>0</v>
      </c>
      <c r="M46" s="62">
        <f t="shared" si="26"/>
        <v>120000</v>
      </c>
      <c r="N46" s="62">
        <f t="shared" si="26"/>
        <v>0</v>
      </c>
      <c r="O46" s="62">
        <f t="shared" si="26"/>
        <v>0</v>
      </c>
      <c r="P46" s="62">
        <f t="shared" si="26"/>
        <v>0</v>
      </c>
      <c r="Q46" s="62">
        <f t="shared" si="26"/>
        <v>0</v>
      </c>
      <c r="R46" s="62">
        <f t="shared" si="26"/>
        <v>0</v>
      </c>
      <c r="S46" s="62">
        <f t="shared" si="26"/>
        <v>1800000</v>
      </c>
      <c r="T46" s="62">
        <f t="shared" si="26"/>
        <v>0</v>
      </c>
      <c r="U46" s="62">
        <f t="shared" si="26"/>
        <v>0</v>
      </c>
      <c r="V46" s="62">
        <f t="shared" si="26"/>
        <v>0</v>
      </c>
      <c r="W46" s="1">
        <f t="shared" si="22"/>
        <v>8785170</v>
      </c>
      <c r="X46" s="1">
        <f>SUM(X24:X45)</f>
        <v>0</v>
      </c>
      <c r="Y46" s="1">
        <f t="shared" ref="Y46:BE46" si="27">SUM(Y24:Y45)</f>
        <v>86446106</v>
      </c>
      <c r="Z46" s="1">
        <f>SUM(Z24:Z45)</f>
        <v>0</v>
      </c>
      <c r="AA46" s="76">
        <f>SUM(AA24:AB45)</f>
        <v>911141.28</v>
      </c>
      <c r="AB46" s="76"/>
      <c r="AC46" s="76">
        <f>SUM(AC24:AC45)</f>
        <v>2476319.1</v>
      </c>
      <c r="AD46" s="76"/>
      <c r="AE46" s="76"/>
      <c r="AF46" s="76">
        <f>SUM(AF24:AG45)</f>
        <v>0</v>
      </c>
      <c r="AG46" s="76"/>
      <c r="AH46" s="1">
        <f t="shared" si="27"/>
        <v>7599390</v>
      </c>
      <c r="AI46" s="1">
        <f t="shared" si="27"/>
        <v>7106590</v>
      </c>
      <c r="AJ46" s="1">
        <f t="shared" si="27"/>
        <v>0</v>
      </c>
      <c r="AK46" s="1">
        <f t="shared" si="27"/>
        <v>492800</v>
      </c>
      <c r="AL46" s="1">
        <f t="shared" si="27"/>
        <v>6022300</v>
      </c>
      <c r="AM46" s="1">
        <f t="shared" si="27"/>
        <v>0</v>
      </c>
      <c r="AN46" s="1">
        <f t="shared" si="27"/>
        <v>0</v>
      </c>
      <c r="AO46" s="1">
        <f t="shared" si="27"/>
        <v>79800</v>
      </c>
      <c r="AP46" s="1">
        <f t="shared" si="27"/>
        <v>0</v>
      </c>
      <c r="AQ46" s="1">
        <f t="shared" si="27"/>
        <v>5942500</v>
      </c>
      <c r="AR46" s="1">
        <f t="shared" si="27"/>
        <v>2290856</v>
      </c>
      <c r="AS46" s="1">
        <f t="shared" si="27"/>
        <v>1615056</v>
      </c>
      <c r="AT46" s="1">
        <f t="shared" si="27"/>
        <v>675800</v>
      </c>
      <c r="AU46" s="1">
        <f t="shared" si="27"/>
        <v>12231232</v>
      </c>
      <c r="AV46" s="1">
        <f t="shared" si="27"/>
        <v>12231232</v>
      </c>
      <c r="AW46" s="76">
        <f>SUM(AW25:AX45)</f>
        <v>0</v>
      </c>
      <c r="AX46" s="76"/>
      <c r="AY46" s="1">
        <f t="shared" si="27"/>
        <v>0</v>
      </c>
      <c r="AZ46" s="1">
        <f t="shared" si="27"/>
        <v>0</v>
      </c>
      <c r="BA46" s="1"/>
      <c r="BB46" s="1">
        <f t="shared" si="27"/>
        <v>11624060</v>
      </c>
      <c r="BC46" s="1">
        <f t="shared" si="27"/>
        <v>0</v>
      </c>
      <c r="BD46" s="1">
        <f t="shared" si="27"/>
        <v>0</v>
      </c>
      <c r="BE46" s="1">
        <f t="shared" si="27"/>
        <v>0</v>
      </c>
      <c r="BF46" s="1">
        <f t="shared" ref="BF46:CI46" si="28">SUM(BF24:BF45)</f>
        <v>1994437</v>
      </c>
      <c r="BG46" s="1">
        <f t="shared" si="28"/>
        <v>1994437</v>
      </c>
      <c r="BH46" s="1">
        <f t="shared" si="7"/>
        <v>11708806</v>
      </c>
      <c r="BI46" s="1">
        <f t="shared" si="28"/>
        <v>6176106</v>
      </c>
      <c r="BJ46" s="1">
        <f t="shared" si="28"/>
        <v>5532700</v>
      </c>
      <c r="BK46" s="1">
        <f t="shared" si="28"/>
        <v>0</v>
      </c>
      <c r="BL46" s="1">
        <f t="shared" si="28"/>
        <v>137000</v>
      </c>
      <c r="BM46" s="1">
        <f t="shared" si="28"/>
        <v>137000</v>
      </c>
      <c r="BN46" s="1">
        <f t="shared" si="28"/>
        <v>0</v>
      </c>
      <c r="BO46" s="1">
        <f t="shared" ref="BO46" si="29">SUM(BO24:BO45)</f>
        <v>0</v>
      </c>
      <c r="BP46" s="1">
        <f t="shared" si="28"/>
        <v>0</v>
      </c>
      <c r="BQ46" s="1">
        <f t="shared" si="28"/>
        <v>0</v>
      </c>
      <c r="BR46" s="1">
        <v>0</v>
      </c>
      <c r="BS46" s="1">
        <f t="shared" si="28"/>
        <v>0</v>
      </c>
      <c r="BT46" s="1">
        <f t="shared" si="28"/>
        <v>0</v>
      </c>
      <c r="BU46" s="1"/>
      <c r="BV46" s="1">
        <f t="shared" si="28"/>
        <v>263349</v>
      </c>
      <c r="BW46" s="1">
        <f t="shared" si="28"/>
        <v>0</v>
      </c>
      <c r="BX46" s="1">
        <f t="shared" ref="BX46" si="30">SUM(BX24:BX45)</f>
        <v>339319</v>
      </c>
      <c r="BY46" s="1">
        <f t="shared" si="28"/>
        <v>9867000</v>
      </c>
      <c r="BZ46" s="1">
        <f t="shared" si="28"/>
        <v>0</v>
      </c>
      <c r="CA46" s="1">
        <f t="shared" si="28"/>
        <v>151176</v>
      </c>
      <c r="CB46" s="1">
        <f t="shared" si="28"/>
        <v>1500000</v>
      </c>
      <c r="CC46" s="1">
        <f t="shared" si="28"/>
        <v>75500</v>
      </c>
      <c r="CD46" s="1">
        <f t="shared" si="28"/>
        <v>0</v>
      </c>
      <c r="CE46" s="1"/>
      <c r="CF46" s="1">
        <f t="shared" si="28"/>
        <v>1500000</v>
      </c>
      <c r="CG46" s="1">
        <f t="shared" si="28"/>
        <v>0</v>
      </c>
      <c r="CH46" s="1">
        <f t="shared" si="28"/>
        <v>2500000</v>
      </c>
      <c r="CI46" s="1">
        <f t="shared" si="28"/>
        <v>3500000</v>
      </c>
      <c r="CJ46" s="75"/>
      <c r="CK46" s="75"/>
      <c r="CL46" s="1">
        <f t="shared" si="23"/>
        <v>163137991.38</v>
      </c>
    </row>
    <row r="47" spans="1:90" ht="74.25" customHeight="1" x14ac:dyDescent="0.95">
      <c r="A47" s="2" t="s">
        <v>37</v>
      </c>
      <c r="B47" s="95" t="s">
        <v>133</v>
      </c>
      <c r="C47" s="95"/>
      <c r="D47" s="44"/>
      <c r="E47" s="44"/>
      <c r="F47" s="44"/>
      <c r="G47" s="44"/>
      <c r="H47" s="44"/>
      <c r="I47" s="44"/>
      <c r="J47" s="44"/>
      <c r="K47" s="62"/>
      <c r="L47" s="62"/>
      <c r="M47" s="62"/>
      <c r="N47" s="62"/>
      <c r="O47" s="62"/>
      <c r="P47" s="62"/>
      <c r="Q47" s="62"/>
      <c r="R47" s="62"/>
      <c r="S47" s="62">
        <v>200000</v>
      </c>
      <c r="T47" s="62"/>
      <c r="U47" s="62"/>
      <c r="V47" s="62"/>
      <c r="W47" s="1">
        <f t="shared" si="22"/>
        <v>200000</v>
      </c>
      <c r="X47" s="1"/>
      <c r="Y47" s="1">
        <v>10218944</v>
      </c>
      <c r="Z47" s="1"/>
      <c r="AA47" s="76"/>
      <c r="AB47" s="76"/>
      <c r="AC47" s="76"/>
      <c r="AD47" s="76"/>
      <c r="AE47" s="76"/>
      <c r="AF47" s="75"/>
      <c r="AG47" s="75"/>
      <c r="AH47" s="1">
        <f t="shared" ref="AH47:AH88" si="31">AI47+AJ47</f>
        <v>983512</v>
      </c>
      <c r="AI47" s="1">
        <v>983512</v>
      </c>
      <c r="AJ47" s="1"/>
      <c r="AK47" s="1"/>
      <c r="AL47" s="1">
        <f t="shared" si="3"/>
        <v>994000</v>
      </c>
      <c r="AM47" s="26"/>
      <c r="AN47" s="26"/>
      <c r="AO47" s="26"/>
      <c r="AP47" s="26"/>
      <c r="AQ47" s="1">
        <v>994000</v>
      </c>
      <c r="AR47" s="1">
        <f t="shared" si="4"/>
        <v>318000</v>
      </c>
      <c r="AS47" s="1">
        <f>214410+10590</f>
        <v>225000</v>
      </c>
      <c r="AT47" s="1">
        <f>113595-20595</f>
        <v>93000</v>
      </c>
      <c r="AU47" s="1">
        <f>AV47+AW47+AY47</f>
        <v>924010</v>
      </c>
      <c r="AV47" s="1">
        <f>918106+5904</f>
        <v>924010</v>
      </c>
      <c r="AW47" s="75"/>
      <c r="AX47" s="75"/>
      <c r="AY47" s="61"/>
      <c r="AZ47" s="1"/>
      <c r="BA47" s="1"/>
      <c r="BB47" s="62">
        <v>819780</v>
      </c>
      <c r="BC47" s="62">
        <f t="shared" si="6"/>
        <v>0</v>
      </c>
      <c r="BD47" s="62"/>
      <c r="BE47" s="62"/>
      <c r="BF47" s="1">
        <v>275748</v>
      </c>
      <c r="BG47" s="1">
        <v>275748</v>
      </c>
      <c r="BH47" s="1">
        <f t="shared" si="7"/>
        <v>853900</v>
      </c>
      <c r="BI47" s="1">
        <v>853900</v>
      </c>
      <c r="BJ47" s="1">
        <v>0</v>
      </c>
      <c r="BK47" s="1"/>
      <c r="BL47" s="1"/>
      <c r="BM47" s="1"/>
      <c r="BN47" s="1"/>
      <c r="BO47" s="1"/>
      <c r="BP47" s="1"/>
      <c r="BQ47" s="1"/>
      <c r="BR47" s="1">
        <v>0</v>
      </c>
      <c r="BS47" s="1"/>
      <c r="BT47" s="1"/>
      <c r="BU47" s="1"/>
      <c r="BV47" s="1">
        <v>4000</v>
      </c>
      <c r="BW47" s="1"/>
      <c r="BX47" s="1"/>
      <c r="BY47" s="1">
        <f>370000+35000</f>
        <v>405000</v>
      </c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75"/>
      <c r="CK47" s="75"/>
      <c r="CL47" s="1">
        <f t="shared" si="23"/>
        <v>15796894</v>
      </c>
    </row>
    <row r="48" spans="1:90" ht="74.25" customHeight="1" x14ac:dyDescent="0.95">
      <c r="A48" s="2" t="s">
        <v>38</v>
      </c>
      <c r="B48" s="95" t="s">
        <v>134</v>
      </c>
      <c r="C48" s="95"/>
      <c r="D48" s="44"/>
      <c r="E48" s="44"/>
      <c r="F48" s="44"/>
      <c r="G48" s="44"/>
      <c r="H48" s="44"/>
      <c r="I48" s="44"/>
      <c r="J48" s="44"/>
      <c r="K48" s="62">
        <v>10000</v>
      </c>
      <c r="L48" s="62"/>
      <c r="M48" s="62"/>
      <c r="N48" s="62"/>
      <c r="O48" s="62"/>
      <c r="P48" s="62"/>
      <c r="Q48" s="62"/>
      <c r="R48" s="62"/>
      <c r="S48" s="62">
        <v>200000</v>
      </c>
      <c r="T48" s="62"/>
      <c r="U48" s="62"/>
      <c r="V48" s="62"/>
      <c r="W48" s="1">
        <f t="shared" si="22"/>
        <v>210000</v>
      </c>
      <c r="X48" s="1"/>
      <c r="Y48" s="1"/>
      <c r="Z48" s="1"/>
      <c r="AA48" s="76"/>
      <c r="AB48" s="76"/>
      <c r="AC48" s="75"/>
      <c r="AD48" s="75"/>
      <c r="AE48" s="75"/>
      <c r="AF48" s="75"/>
      <c r="AG48" s="75"/>
      <c r="AH48" s="1">
        <f t="shared" si="31"/>
        <v>0</v>
      </c>
      <c r="AI48" s="1"/>
      <c r="AJ48" s="1"/>
      <c r="AK48" s="1"/>
      <c r="AL48" s="1">
        <f t="shared" si="3"/>
        <v>113400</v>
      </c>
      <c r="AM48" s="26"/>
      <c r="AN48" s="26"/>
      <c r="AO48" s="26"/>
      <c r="AP48" s="26"/>
      <c r="AQ48" s="1">
        <v>113400</v>
      </c>
      <c r="AR48" s="1">
        <f t="shared" si="4"/>
        <v>188307</v>
      </c>
      <c r="AS48" s="1">
        <f>125042+40065.63-32600.63</f>
        <v>132507</v>
      </c>
      <c r="AT48" s="1">
        <f>65929+11715-21844</f>
        <v>55800</v>
      </c>
      <c r="AU48" s="1">
        <f t="shared" ref="AU48:AU108" si="32">AV48+AW48+AY48</f>
        <v>282935</v>
      </c>
      <c r="AV48" s="1">
        <f>281135+1800</f>
        <v>282935</v>
      </c>
      <c r="AW48" s="75"/>
      <c r="AX48" s="75"/>
      <c r="AY48" s="61"/>
      <c r="AZ48" s="1"/>
      <c r="BA48" s="1"/>
      <c r="BB48" s="62">
        <v>357340</v>
      </c>
      <c r="BC48" s="62">
        <f t="shared" si="6"/>
        <v>54444.630000000005</v>
      </c>
      <c r="BD48" s="62">
        <v>32600.63</v>
      </c>
      <c r="BE48" s="62">
        <v>21844</v>
      </c>
      <c r="BF48" s="1"/>
      <c r="BG48" s="1"/>
      <c r="BH48" s="1">
        <f t="shared" si="7"/>
        <v>0</v>
      </c>
      <c r="BI48" s="1"/>
      <c r="BJ48" s="1">
        <v>0</v>
      </c>
      <c r="BK48" s="1"/>
      <c r="BL48" s="1"/>
      <c r="BM48" s="1"/>
      <c r="BN48" s="1"/>
      <c r="BO48" s="1"/>
      <c r="BP48" s="1"/>
      <c r="BQ48" s="1"/>
      <c r="BR48" s="1">
        <v>0</v>
      </c>
      <c r="BS48" s="1"/>
      <c r="BT48" s="1"/>
      <c r="BU48" s="1"/>
      <c r="BV48" s="1"/>
      <c r="BW48" s="1"/>
      <c r="BX48" s="1"/>
      <c r="BY48" s="1">
        <v>120000</v>
      </c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75"/>
      <c r="CK48" s="75"/>
      <c r="CL48" s="1">
        <f t="shared" si="23"/>
        <v>1116426.6299999999</v>
      </c>
    </row>
    <row r="49" spans="1:90" ht="74.25" customHeight="1" x14ac:dyDescent="0.95">
      <c r="A49" s="2" t="s">
        <v>39</v>
      </c>
      <c r="B49" s="95" t="s">
        <v>135</v>
      </c>
      <c r="C49" s="95"/>
      <c r="D49" s="44"/>
      <c r="E49" s="44"/>
      <c r="F49" s="44"/>
      <c r="G49" s="44"/>
      <c r="H49" s="44"/>
      <c r="I49" s="44"/>
      <c r="J49" s="44"/>
      <c r="K49" s="62">
        <v>7400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1">
        <f t="shared" si="22"/>
        <v>7400</v>
      </c>
      <c r="X49" s="1"/>
      <c r="Y49" s="1"/>
      <c r="Z49" s="1"/>
      <c r="AA49" s="76"/>
      <c r="AB49" s="76"/>
      <c r="AC49" s="75"/>
      <c r="AD49" s="75"/>
      <c r="AE49" s="75"/>
      <c r="AF49" s="75"/>
      <c r="AG49" s="75"/>
      <c r="AH49" s="1">
        <f t="shared" si="31"/>
        <v>0</v>
      </c>
      <c r="AI49" s="1"/>
      <c r="AJ49" s="1"/>
      <c r="AK49" s="1"/>
      <c r="AL49" s="1">
        <f t="shared" si="3"/>
        <v>0</v>
      </c>
      <c r="AM49" s="26"/>
      <c r="AN49" s="26"/>
      <c r="AO49" s="26"/>
      <c r="AP49" s="26"/>
      <c r="AQ49" s="1"/>
      <c r="AR49" s="1">
        <f t="shared" si="4"/>
        <v>218242</v>
      </c>
      <c r="AS49" s="1">
        <f>135610+14432</f>
        <v>150042</v>
      </c>
      <c r="AT49" s="1">
        <f>69935-1735</f>
        <v>68200</v>
      </c>
      <c r="AU49" s="1">
        <f t="shared" si="32"/>
        <v>228393</v>
      </c>
      <c r="AV49" s="1">
        <f>226923+1470</f>
        <v>228393</v>
      </c>
      <c r="AW49" s="75"/>
      <c r="AX49" s="75"/>
      <c r="AY49" s="61"/>
      <c r="AZ49" s="1"/>
      <c r="BA49" s="1"/>
      <c r="BB49" s="62">
        <v>189180</v>
      </c>
      <c r="BC49" s="62">
        <f t="shared" si="6"/>
        <v>0</v>
      </c>
      <c r="BD49" s="62"/>
      <c r="BE49" s="62"/>
      <c r="BF49" s="1">
        <v>214704</v>
      </c>
      <c r="BG49" s="1">
        <v>214704</v>
      </c>
      <c r="BH49" s="1">
        <f t="shared" si="7"/>
        <v>664867</v>
      </c>
      <c r="BI49" s="1">
        <v>664867</v>
      </c>
      <c r="BJ49" s="1">
        <v>0</v>
      </c>
      <c r="BK49" s="1"/>
      <c r="BL49" s="1"/>
      <c r="BM49" s="1"/>
      <c r="BN49" s="1"/>
      <c r="BO49" s="1"/>
      <c r="BP49" s="1"/>
      <c r="BQ49" s="1"/>
      <c r="BR49" s="1">
        <v>0</v>
      </c>
      <c r="BS49" s="1"/>
      <c r="BT49" s="1"/>
      <c r="BU49" s="1"/>
      <c r="BV49" s="1"/>
      <c r="BW49" s="1"/>
      <c r="BX49" s="1"/>
      <c r="BY49" s="1">
        <v>110000</v>
      </c>
      <c r="BZ49" s="1"/>
      <c r="CA49" s="1"/>
      <c r="CB49" s="1"/>
      <c r="CC49" s="1"/>
      <c r="CD49" s="1"/>
      <c r="CE49" s="1">
        <v>1000000</v>
      </c>
      <c r="CF49" s="1">
        <f>600000+500000</f>
        <v>1100000</v>
      </c>
      <c r="CG49" s="1"/>
      <c r="CH49" s="1"/>
      <c r="CI49" s="1"/>
      <c r="CJ49" s="75"/>
      <c r="CK49" s="75"/>
      <c r="CL49" s="1">
        <f t="shared" si="23"/>
        <v>3725386</v>
      </c>
    </row>
    <row r="50" spans="1:90" ht="74.25" customHeight="1" x14ac:dyDescent="0.95">
      <c r="A50" s="2" t="s">
        <v>40</v>
      </c>
      <c r="B50" s="95" t="s">
        <v>136</v>
      </c>
      <c r="C50" s="95"/>
      <c r="D50" s="44"/>
      <c r="E50" s="44"/>
      <c r="F50" s="44"/>
      <c r="G50" s="44"/>
      <c r="H50" s="44"/>
      <c r="I50" s="44"/>
      <c r="J50" s="44"/>
      <c r="K50" s="62">
        <v>4200</v>
      </c>
      <c r="L50" s="62"/>
      <c r="M50" s="62"/>
      <c r="N50" s="62"/>
      <c r="O50" s="62"/>
      <c r="P50" s="62"/>
      <c r="Q50" s="62"/>
      <c r="R50" s="62"/>
      <c r="S50" s="62">
        <v>200000</v>
      </c>
      <c r="T50" s="62"/>
      <c r="U50" s="62"/>
      <c r="V50" s="62"/>
      <c r="W50" s="1">
        <f t="shared" si="22"/>
        <v>204200</v>
      </c>
      <c r="X50" s="1"/>
      <c r="Y50" s="1">
        <v>1710325</v>
      </c>
      <c r="Z50" s="1"/>
      <c r="AA50" s="76"/>
      <c r="AB50" s="76"/>
      <c r="AC50" s="75"/>
      <c r="AD50" s="75"/>
      <c r="AE50" s="75"/>
      <c r="AF50" s="75"/>
      <c r="AG50" s="75"/>
      <c r="AH50" s="1">
        <f t="shared" si="31"/>
        <v>0</v>
      </c>
      <c r="AI50" s="1"/>
      <c r="AJ50" s="1"/>
      <c r="AK50" s="1"/>
      <c r="AL50" s="1">
        <f t="shared" si="3"/>
        <v>0</v>
      </c>
      <c r="AM50" s="26"/>
      <c r="AN50" s="26"/>
      <c r="AO50" s="26"/>
      <c r="AP50" s="26"/>
      <c r="AQ50" s="1"/>
      <c r="AR50" s="1">
        <f t="shared" si="4"/>
        <v>0</v>
      </c>
      <c r="AS50" s="1"/>
      <c r="AT50" s="1"/>
      <c r="AU50" s="1">
        <f t="shared" si="32"/>
        <v>136164</v>
      </c>
      <c r="AV50" s="1">
        <f>135306+858</f>
        <v>136164</v>
      </c>
      <c r="AW50" s="75"/>
      <c r="AX50" s="75"/>
      <c r="AY50" s="61"/>
      <c r="AZ50" s="1"/>
      <c r="BA50" s="1"/>
      <c r="BB50" s="62">
        <v>273260</v>
      </c>
      <c r="BC50" s="62">
        <f t="shared" si="6"/>
        <v>0</v>
      </c>
      <c r="BD50" s="62"/>
      <c r="BE50" s="62"/>
      <c r="BF50" s="1"/>
      <c r="BG50" s="1"/>
      <c r="BH50" s="1">
        <f t="shared" si="7"/>
        <v>0</v>
      </c>
      <c r="BI50" s="1"/>
      <c r="BJ50" s="1">
        <v>0</v>
      </c>
      <c r="BK50" s="1"/>
      <c r="BL50" s="1"/>
      <c r="BM50" s="1"/>
      <c r="BN50" s="1"/>
      <c r="BO50" s="1"/>
      <c r="BP50" s="1"/>
      <c r="BQ50" s="1"/>
      <c r="BR50" s="1">
        <v>0</v>
      </c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75"/>
      <c r="CK50" s="75"/>
      <c r="CL50" s="1">
        <f t="shared" si="23"/>
        <v>2119749</v>
      </c>
    </row>
    <row r="51" spans="1:90" ht="74.25" customHeight="1" x14ac:dyDescent="0.95">
      <c r="A51" s="2" t="s">
        <v>86</v>
      </c>
      <c r="B51" s="95" t="s">
        <v>137</v>
      </c>
      <c r="C51" s="95"/>
      <c r="D51" s="44"/>
      <c r="E51" s="44"/>
      <c r="F51" s="44"/>
      <c r="G51" s="44"/>
      <c r="H51" s="44"/>
      <c r="I51" s="44"/>
      <c r="J51" s="44"/>
      <c r="K51" s="62">
        <v>3000</v>
      </c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1">
        <f t="shared" si="22"/>
        <v>3000</v>
      </c>
      <c r="X51" s="1"/>
      <c r="Y51" s="1">
        <v>879617</v>
      </c>
      <c r="Z51" s="1"/>
      <c r="AA51" s="76"/>
      <c r="AB51" s="76"/>
      <c r="AC51" s="75"/>
      <c r="AD51" s="75"/>
      <c r="AE51" s="75"/>
      <c r="AF51" s="75"/>
      <c r="AG51" s="75"/>
      <c r="AH51" s="1">
        <f t="shared" si="31"/>
        <v>611369</v>
      </c>
      <c r="AI51" s="1">
        <v>611369</v>
      </c>
      <c r="AJ51" s="1"/>
      <c r="AK51" s="1"/>
      <c r="AL51" s="1">
        <f t="shared" si="3"/>
        <v>0</v>
      </c>
      <c r="AM51" s="26"/>
      <c r="AN51" s="26"/>
      <c r="AO51" s="26"/>
      <c r="AP51" s="26"/>
      <c r="AQ51" s="1"/>
      <c r="AR51" s="1">
        <f t="shared" si="4"/>
        <v>42400</v>
      </c>
      <c r="AS51" s="1">
        <f>28588+1412</f>
        <v>30000</v>
      </c>
      <c r="AT51" s="1">
        <f>15146-2746</f>
        <v>12400</v>
      </c>
      <c r="AU51" s="1">
        <f t="shared" si="32"/>
        <v>137439</v>
      </c>
      <c r="AV51" s="1">
        <f>136536+903</f>
        <v>137439</v>
      </c>
      <c r="AW51" s="75"/>
      <c r="AX51" s="75"/>
      <c r="AY51" s="61"/>
      <c r="AZ51" s="1"/>
      <c r="BA51" s="1"/>
      <c r="BB51" s="62">
        <v>84080</v>
      </c>
      <c r="BC51" s="62">
        <f t="shared" si="6"/>
        <v>0</v>
      </c>
      <c r="BD51" s="62"/>
      <c r="BE51" s="62"/>
      <c r="BF51" s="1"/>
      <c r="BG51" s="1"/>
      <c r="BH51" s="1">
        <f t="shared" si="7"/>
        <v>0</v>
      </c>
      <c r="BI51" s="1"/>
      <c r="BJ51" s="1">
        <v>0</v>
      </c>
      <c r="BK51" s="1"/>
      <c r="BL51" s="1"/>
      <c r="BM51" s="1"/>
      <c r="BN51" s="1"/>
      <c r="BO51" s="1"/>
      <c r="BP51" s="1"/>
      <c r="BQ51" s="1"/>
      <c r="BR51" s="1">
        <v>0</v>
      </c>
      <c r="BS51" s="1"/>
      <c r="BT51" s="1"/>
      <c r="BU51" s="1"/>
      <c r="BV51" s="1"/>
      <c r="BW51" s="1"/>
      <c r="BX51" s="1"/>
      <c r="BY51" s="1">
        <v>60000</v>
      </c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75"/>
      <c r="CK51" s="75"/>
      <c r="CL51" s="1">
        <f t="shared" si="23"/>
        <v>1814905</v>
      </c>
    </row>
    <row r="52" spans="1:90" ht="74.25" customHeight="1" x14ac:dyDescent="0.95">
      <c r="A52" s="2" t="s">
        <v>41</v>
      </c>
      <c r="B52" s="95" t="s">
        <v>138</v>
      </c>
      <c r="C52" s="95"/>
      <c r="D52" s="44"/>
      <c r="E52" s="44"/>
      <c r="F52" s="44"/>
      <c r="G52" s="44"/>
      <c r="H52" s="44"/>
      <c r="I52" s="44"/>
      <c r="J52" s="44"/>
      <c r="K52" s="62">
        <v>19200</v>
      </c>
      <c r="L52" s="44"/>
      <c r="M52" s="45"/>
      <c r="N52" s="44"/>
      <c r="O52" s="44"/>
      <c r="P52" s="44"/>
      <c r="Q52" s="44"/>
      <c r="R52" s="44"/>
      <c r="S52" s="44"/>
      <c r="T52" s="44"/>
      <c r="U52" s="44"/>
      <c r="V52" s="44"/>
      <c r="W52" s="1">
        <f t="shared" si="22"/>
        <v>19200</v>
      </c>
      <c r="X52" s="1"/>
      <c r="Y52" s="1">
        <v>4616087</v>
      </c>
      <c r="Z52" s="1"/>
      <c r="AA52" s="76"/>
      <c r="AB52" s="76"/>
      <c r="AC52" s="75"/>
      <c r="AD52" s="75"/>
      <c r="AE52" s="75"/>
      <c r="AF52" s="75"/>
      <c r="AG52" s="75"/>
      <c r="AH52" s="1">
        <f t="shared" si="31"/>
        <v>0</v>
      </c>
      <c r="AI52" s="1"/>
      <c r="AJ52" s="1"/>
      <c r="AK52" s="1"/>
      <c r="AL52" s="1">
        <f t="shared" si="3"/>
        <v>0</v>
      </c>
      <c r="AM52" s="26"/>
      <c r="AN52" s="26"/>
      <c r="AO52" s="26"/>
      <c r="AP52" s="26"/>
      <c r="AQ52" s="1"/>
      <c r="AR52" s="1">
        <f t="shared" si="4"/>
        <v>212000</v>
      </c>
      <c r="AS52" s="1">
        <f>142940+7060</f>
        <v>150000</v>
      </c>
      <c r="AT52" s="1">
        <f>75730-13730</f>
        <v>62000</v>
      </c>
      <c r="AU52" s="1">
        <f t="shared" si="32"/>
        <v>523586</v>
      </c>
      <c r="AV52" s="1">
        <f>520262+3324</f>
        <v>523586</v>
      </c>
      <c r="AW52" s="75"/>
      <c r="AX52" s="75"/>
      <c r="AY52" s="61"/>
      <c r="AZ52" s="1"/>
      <c r="BA52" s="1"/>
      <c r="BB52" s="62">
        <v>630600</v>
      </c>
      <c r="BC52" s="62">
        <f t="shared" si="6"/>
        <v>0</v>
      </c>
      <c r="BD52" s="62"/>
      <c r="BE52" s="62"/>
      <c r="BF52" s="1"/>
      <c r="BG52" s="1"/>
      <c r="BH52" s="1">
        <f t="shared" si="7"/>
        <v>0</v>
      </c>
      <c r="BI52" s="1"/>
      <c r="BJ52" s="1">
        <v>0</v>
      </c>
      <c r="BK52" s="1"/>
      <c r="BL52" s="1"/>
      <c r="BM52" s="1"/>
      <c r="BN52" s="1"/>
      <c r="BO52" s="1"/>
      <c r="BP52" s="1"/>
      <c r="BQ52" s="1"/>
      <c r="BR52" s="1">
        <v>0</v>
      </c>
      <c r="BS52" s="1"/>
      <c r="BT52" s="1"/>
      <c r="BU52" s="1"/>
      <c r="BV52" s="1">
        <v>2488</v>
      </c>
      <c r="BW52" s="1"/>
      <c r="BX52" s="1"/>
      <c r="BY52" s="1">
        <v>470000</v>
      </c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75"/>
      <c r="CK52" s="75"/>
      <c r="CL52" s="1">
        <f t="shared" si="23"/>
        <v>6454761</v>
      </c>
    </row>
    <row r="53" spans="1:90" ht="74.25" customHeight="1" x14ac:dyDescent="0.95">
      <c r="A53" s="2" t="s">
        <v>42</v>
      </c>
      <c r="B53" s="95" t="s">
        <v>139</v>
      </c>
      <c r="C53" s="95"/>
      <c r="D53" s="44"/>
      <c r="E53" s="44"/>
      <c r="F53" s="44"/>
      <c r="G53" s="44"/>
      <c r="H53" s="44"/>
      <c r="I53" s="44"/>
      <c r="J53" s="44"/>
      <c r="K53" s="45"/>
      <c r="L53" s="44"/>
      <c r="M53" s="45"/>
      <c r="N53" s="44"/>
      <c r="O53" s="44"/>
      <c r="P53" s="44"/>
      <c r="Q53" s="44"/>
      <c r="R53" s="44"/>
      <c r="S53" s="44"/>
      <c r="T53" s="44"/>
      <c r="U53" s="44"/>
      <c r="V53" s="44"/>
      <c r="W53" s="1">
        <f t="shared" si="22"/>
        <v>0</v>
      </c>
      <c r="X53" s="1"/>
      <c r="Y53" s="1">
        <v>1548395</v>
      </c>
      <c r="Z53" s="1"/>
      <c r="AA53" s="76"/>
      <c r="AB53" s="76"/>
      <c r="AC53" s="75"/>
      <c r="AD53" s="75"/>
      <c r="AE53" s="75"/>
      <c r="AF53" s="75"/>
      <c r="AG53" s="75"/>
      <c r="AH53" s="1">
        <f t="shared" si="31"/>
        <v>0</v>
      </c>
      <c r="AI53" s="1"/>
      <c r="AJ53" s="1"/>
      <c r="AK53" s="1"/>
      <c r="AL53" s="1">
        <f t="shared" si="3"/>
        <v>0</v>
      </c>
      <c r="AM53" s="26"/>
      <c r="AN53" s="26"/>
      <c r="AO53" s="26"/>
      <c r="AP53" s="26"/>
      <c r="AQ53" s="1"/>
      <c r="AR53" s="1">
        <f t="shared" si="4"/>
        <v>0</v>
      </c>
      <c r="AS53" s="1"/>
      <c r="AT53" s="1"/>
      <c r="AU53" s="1">
        <f t="shared" si="32"/>
        <v>231321</v>
      </c>
      <c r="AV53" s="1">
        <f>229835+1486</f>
        <v>231321</v>
      </c>
      <c r="AW53" s="75"/>
      <c r="AX53" s="75"/>
      <c r="AY53" s="61"/>
      <c r="AZ53" s="1"/>
      <c r="BA53" s="1"/>
      <c r="BB53" s="62">
        <v>105100</v>
      </c>
      <c r="BC53" s="62">
        <f t="shared" si="6"/>
        <v>0</v>
      </c>
      <c r="BD53" s="62"/>
      <c r="BE53" s="62"/>
      <c r="BF53" s="1"/>
      <c r="BG53" s="1"/>
      <c r="BH53" s="1">
        <f t="shared" si="7"/>
        <v>0</v>
      </c>
      <c r="BI53" s="1"/>
      <c r="BJ53" s="1">
        <v>0</v>
      </c>
      <c r="BK53" s="1"/>
      <c r="BL53" s="1"/>
      <c r="BM53" s="1"/>
      <c r="BN53" s="1"/>
      <c r="BO53" s="1"/>
      <c r="BP53" s="1"/>
      <c r="BQ53" s="1"/>
      <c r="BR53" s="1">
        <v>0</v>
      </c>
      <c r="BS53" s="1"/>
      <c r="BT53" s="1"/>
      <c r="BU53" s="1"/>
      <c r="BV53" s="1"/>
      <c r="BW53" s="1"/>
      <c r="BX53" s="1"/>
      <c r="BY53" s="1">
        <f>500000-200000</f>
        <v>300000</v>
      </c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75"/>
      <c r="CK53" s="75"/>
      <c r="CL53" s="1">
        <f t="shared" si="23"/>
        <v>2184816</v>
      </c>
    </row>
    <row r="54" spans="1:90" ht="74.25" customHeight="1" x14ac:dyDescent="0.95">
      <c r="A54" s="2" t="s">
        <v>43</v>
      </c>
      <c r="B54" s="95" t="s">
        <v>140</v>
      </c>
      <c r="C54" s="95"/>
      <c r="D54" s="44"/>
      <c r="E54" s="44"/>
      <c r="F54" s="44"/>
      <c r="G54" s="44"/>
      <c r="H54" s="44"/>
      <c r="I54" s="44"/>
      <c r="J54" s="44"/>
      <c r="K54" s="62">
        <v>2100</v>
      </c>
      <c r="L54" s="44"/>
      <c r="M54" s="45"/>
      <c r="N54" s="44"/>
      <c r="O54" s="44"/>
      <c r="P54" s="44"/>
      <c r="Q54" s="44"/>
      <c r="R54" s="44"/>
      <c r="S54" s="44"/>
      <c r="T54" s="44"/>
      <c r="U54" s="44"/>
      <c r="V54" s="44"/>
      <c r="W54" s="1">
        <f t="shared" si="22"/>
        <v>2100</v>
      </c>
      <c r="X54" s="1"/>
      <c r="Y54" s="1">
        <v>473217</v>
      </c>
      <c r="Z54" s="1"/>
      <c r="AA54" s="76"/>
      <c r="AB54" s="76"/>
      <c r="AC54" s="75"/>
      <c r="AD54" s="75"/>
      <c r="AE54" s="75"/>
      <c r="AF54" s="75"/>
      <c r="AG54" s="75"/>
      <c r="AH54" s="1">
        <f t="shared" si="31"/>
        <v>0</v>
      </c>
      <c r="AI54" s="1"/>
      <c r="AJ54" s="1"/>
      <c r="AK54" s="1"/>
      <c r="AL54" s="1">
        <f t="shared" si="3"/>
        <v>0</v>
      </c>
      <c r="AM54" s="26"/>
      <c r="AN54" s="26"/>
      <c r="AO54" s="26"/>
      <c r="AP54" s="26"/>
      <c r="AQ54" s="1"/>
      <c r="AR54" s="1">
        <f t="shared" si="4"/>
        <v>0</v>
      </c>
      <c r="AS54" s="1"/>
      <c r="AT54" s="1"/>
      <c r="AU54" s="1">
        <f t="shared" si="32"/>
        <v>70457</v>
      </c>
      <c r="AV54" s="1">
        <f>70003+454</f>
        <v>70457</v>
      </c>
      <c r="AW54" s="75"/>
      <c r="AX54" s="75"/>
      <c r="AY54" s="61"/>
      <c r="AZ54" s="1"/>
      <c r="BA54" s="1"/>
      <c r="BB54" s="62">
        <v>84080</v>
      </c>
      <c r="BC54" s="62">
        <f t="shared" si="6"/>
        <v>0</v>
      </c>
      <c r="BD54" s="62"/>
      <c r="BE54" s="62"/>
      <c r="BF54" s="1"/>
      <c r="BG54" s="1"/>
      <c r="BH54" s="1">
        <f t="shared" si="7"/>
        <v>0</v>
      </c>
      <c r="BI54" s="1"/>
      <c r="BJ54" s="1">
        <v>0</v>
      </c>
      <c r="BK54" s="1"/>
      <c r="BL54" s="1"/>
      <c r="BM54" s="1"/>
      <c r="BN54" s="1"/>
      <c r="BO54" s="1"/>
      <c r="BP54" s="1"/>
      <c r="BQ54" s="1"/>
      <c r="BR54" s="1">
        <v>0</v>
      </c>
      <c r="BS54" s="1"/>
      <c r="BT54" s="1"/>
      <c r="BU54" s="1"/>
      <c r="BV54" s="1"/>
      <c r="BW54" s="1"/>
      <c r="BX54" s="1"/>
      <c r="BY54" s="1">
        <v>15000</v>
      </c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75"/>
      <c r="CK54" s="75"/>
      <c r="CL54" s="1">
        <f t="shared" si="23"/>
        <v>642754</v>
      </c>
    </row>
    <row r="55" spans="1:90" ht="74.25" customHeight="1" x14ac:dyDescent="0.95">
      <c r="A55" s="2" t="s">
        <v>62</v>
      </c>
      <c r="B55" s="95" t="s">
        <v>141</v>
      </c>
      <c r="C55" s="95"/>
      <c r="D55" s="44"/>
      <c r="E55" s="44"/>
      <c r="F55" s="44"/>
      <c r="G55" s="44"/>
      <c r="H55" s="44"/>
      <c r="I55" s="44"/>
      <c r="J55" s="44"/>
      <c r="K55" s="62">
        <v>3600</v>
      </c>
      <c r="L55" s="44"/>
      <c r="M55" s="45"/>
      <c r="N55" s="44"/>
      <c r="O55" s="44"/>
      <c r="P55" s="44"/>
      <c r="Q55" s="44"/>
      <c r="R55" s="44"/>
      <c r="S55" s="44"/>
      <c r="T55" s="44"/>
      <c r="U55" s="44"/>
      <c r="V55" s="44"/>
      <c r="W55" s="1">
        <f t="shared" si="22"/>
        <v>3600</v>
      </c>
      <c r="X55" s="1"/>
      <c r="Y55" s="1">
        <v>828325</v>
      </c>
      <c r="Z55" s="1"/>
      <c r="AA55" s="76"/>
      <c r="AB55" s="76"/>
      <c r="AC55" s="75"/>
      <c r="AD55" s="75"/>
      <c r="AE55" s="75"/>
      <c r="AF55" s="75"/>
      <c r="AG55" s="75"/>
      <c r="AH55" s="1">
        <f t="shared" si="31"/>
        <v>0</v>
      </c>
      <c r="AI55" s="1"/>
      <c r="AJ55" s="1"/>
      <c r="AK55" s="1"/>
      <c r="AL55" s="1">
        <f t="shared" si="3"/>
        <v>0</v>
      </c>
      <c r="AM55" s="26"/>
      <c r="AN55" s="26"/>
      <c r="AO55" s="26"/>
      <c r="AP55" s="26"/>
      <c r="AQ55" s="1"/>
      <c r="AR55" s="1">
        <f t="shared" si="4"/>
        <v>0</v>
      </c>
      <c r="AS55" s="1"/>
      <c r="AT55" s="1"/>
      <c r="AU55" s="1">
        <f t="shared" si="32"/>
        <v>85527</v>
      </c>
      <c r="AV55" s="1">
        <f>84976+551</f>
        <v>85527</v>
      </c>
      <c r="AW55" s="75"/>
      <c r="AX55" s="75"/>
      <c r="AY55" s="61"/>
      <c r="AZ55" s="1"/>
      <c r="BA55" s="1"/>
      <c r="BB55" s="62">
        <v>126120</v>
      </c>
      <c r="BC55" s="62">
        <f t="shared" si="6"/>
        <v>0</v>
      </c>
      <c r="BD55" s="62"/>
      <c r="BE55" s="62"/>
      <c r="BF55" s="1"/>
      <c r="BG55" s="1"/>
      <c r="BH55" s="1">
        <f t="shared" si="7"/>
        <v>0</v>
      </c>
      <c r="BI55" s="1"/>
      <c r="BJ55" s="1">
        <v>0</v>
      </c>
      <c r="BK55" s="1"/>
      <c r="BL55" s="1"/>
      <c r="BM55" s="1"/>
      <c r="BN55" s="1"/>
      <c r="BO55" s="1"/>
      <c r="BP55" s="1"/>
      <c r="BQ55" s="1"/>
      <c r="BR55" s="1">
        <v>0</v>
      </c>
      <c r="BS55" s="1"/>
      <c r="BT55" s="1"/>
      <c r="BU55" s="1"/>
      <c r="BV55" s="1"/>
      <c r="BW55" s="1"/>
      <c r="BX55" s="1"/>
      <c r="BY55" s="1">
        <v>35000</v>
      </c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75"/>
      <c r="CK55" s="75"/>
      <c r="CL55" s="1">
        <f t="shared" si="23"/>
        <v>1074972</v>
      </c>
    </row>
    <row r="56" spans="1:90" ht="71.25" customHeight="1" x14ac:dyDescent="0.95">
      <c r="A56" s="2" t="s">
        <v>44</v>
      </c>
      <c r="B56" s="95" t="s">
        <v>142</v>
      </c>
      <c r="C56" s="95"/>
      <c r="D56" s="44"/>
      <c r="E56" s="44"/>
      <c r="F56" s="44"/>
      <c r="G56" s="44"/>
      <c r="H56" s="44"/>
      <c r="I56" s="44"/>
      <c r="J56" s="44"/>
      <c r="K56" s="62">
        <v>4800</v>
      </c>
      <c r="L56" s="44"/>
      <c r="M56" s="45"/>
      <c r="N56" s="44"/>
      <c r="O56" s="44"/>
      <c r="P56" s="44"/>
      <c r="Q56" s="44"/>
      <c r="R56" s="44"/>
      <c r="S56" s="44"/>
      <c r="T56" s="44"/>
      <c r="U56" s="44"/>
      <c r="V56" s="44"/>
      <c r="W56" s="1">
        <f t="shared" si="22"/>
        <v>4800</v>
      </c>
      <c r="X56" s="1"/>
      <c r="Y56" s="1">
        <v>1134039</v>
      </c>
      <c r="Z56" s="1"/>
      <c r="AA56" s="76"/>
      <c r="AB56" s="76"/>
      <c r="AC56" s="75"/>
      <c r="AD56" s="75"/>
      <c r="AE56" s="75"/>
      <c r="AF56" s="75"/>
      <c r="AG56" s="75"/>
      <c r="AH56" s="1">
        <f t="shared" si="31"/>
        <v>0</v>
      </c>
      <c r="AI56" s="1"/>
      <c r="AJ56" s="1"/>
      <c r="AK56" s="1"/>
      <c r="AL56" s="1">
        <f t="shared" si="3"/>
        <v>360000</v>
      </c>
      <c r="AM56" s="26"/>
      <c r="AN56" s="26"/>
      <c r="AO56" s="26"/>
      <c r="AP56" s="26"/>
      <c r="AQ56" s="1">
        <v>360000</v>
      </c>
      <c r="AR56" s="1">
        <f t="shared" si="4"/>
        <v>0</v>
      </c>
      <c r="AS56" s="1"/>
      <c r="AT56" s="1"/>
      <c r="AU56" s="1">
        <f t="shared" si="32"/>
        <v>159888</v>
      </c>
      <c r="AV56" s="1">
        <f>158861+1027</f>
        <v>159888</v>
      </c>
      <c r="AW56" s="75"/>
      <c r="AX56" s="75"/>
      <c r="AY56" s="61"/>
      <c r="AZ56" s="1"/>
      <c r="BA56" s="1"/>
      <c r="BB56" s="62">
        <v>63060</v>
      </c>
      <c r="BC56" s="62">
        <f t="shared" si="6"/>
        <v>0</v>
      </c>
      <c r="BD56" s="62"/>
      <c r="BE56" s="62"/>
      <c r="BF56" s="1"/>
      <c r="BG56" s="1"/>
      <c r="BH56" s="1">
        <f t="shared" si="7"/>
        <v>0</v>
      </c>
      <c r="BI56" s="1"/>
      <c r="BJ56" s="1">
        <v>0</v>
      </c>
      <c r="BK56" s="1"/>
      <c r="BL56" s="1"/>
      <c r="BM56" s="1"/>
      <c r="BN56" s="1"/>
      <c r="BO56" s="1"/>
      <c r="BP56" s="1"/>
      <c r="BQ56" s="1"/>
      <c r="BR56" s="1">
        <v>0</v>
      </c>
      <c r="BS56" s="1"/>
      <c r="BT56" s="1"/>
      <c r="BU56" s="1"/>
      <c r="BV56" s="1"/>
      <c r="BW56" s="1"/>
      <c r="BX56" s="1"/>
      <c r="BY56" s="1">
        <v>50000</v>
      </c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75"/>
      <c r="CK56" s="75"/>
      <c r="CL56" s="1">
        <f t="shared" si="23"/>
        <v>1766987</v>
      </c>
    </row>
    <row r="57" spans="1:90" ht="71.25" customHeight="1" x14ac:dyDescent="0.95">
      <c r="A57" s="2" t="s">
        <v>45</v>
      </c>
      <c r="B57" s="95" t="s">
        <v>143</v>
      </c>
      <c r="C57" s="95"/>
      <c r="D57" s="44"/>
      <c r="E57" s="44"/>
      <c r="F57" s="44"/>
      <c r="G57" s="44"/>
      <c r="H57" s="44"/>
      <c r="I57" s="1">
        <v>7500000</v>
      </c>
      <c r="J57" s="44"/>
      <c r="K57" s="62">
        <v>10900</v>
      </c>
      <c r="L57" s="44"/>
      <c r="M57" s="45"/>
      <c r="N57" s="44"/>
      <c r="O57" s="44"/>
      <c r="P57" s="44"/>
      <c r="Q57" s="44"/>
      <c r="R57" s="44"/>
      <c r="S57" s="44"/>
      <c r="T57" s="44"/>
      <c r="U57" s="44"/>
      <c r="V57" s="44"/>
      <c r="W57" s="1">
        <f t="shared" si="22"/>
        <v>7510900</v>
      </c>
      <c r="X57" s="1"/>
      <c r="Y57" s="1"/>
      <c r="Z57" s="1"/>
      <c r="AA57" s="76"/>
      <c r="AB57" s="76"/>
      <c r="AC57" s="75"/>
      <c r="AD57" s="75"/>
      <c r="AE57" s="75"/>
      <c r="AF57" s="75"/>
      <c r="AG57" s="75"/>
      <c r="AH57" s="1">
        <f t="shared" si="31"/>
        <v>0</v>
      </c>
      <c r="AI57" s="1"/>
      <c r="AJ57" s="1"/>
      <c r="AK57" s="1"/>
      <c r="AL57" s="1">
        <f t="shared" si="3"/>
        <v>0</v>
      </c>
      <c r="AM57" s="26"/>
      <c r="AN57" s="26"/>
      <c r="AO57" s="26"/>
      <c r="AP57" s="26"/>
      <c r="AQ57" s="1"/>
      <c r="AR57" s="1">
        <f t="shared" si="4"/>
        <v>209507</v>
      </c>
      <c r="AS57" s="1">
        <f>139336+8171</f>
        <v>147507</v>
      </c>
      <c r="AT57" s="1">
        <f>73502-11502</f>
        <v>62000</v>
      </c>
      <c r="AU57" s="1">
        <f t="shared" si="32"/>
        <v>334964</v>
      </c>
      <c r="AV57" s="1">
        <f>332839+2125</f>
        <v>334964</v>
      </c>
      <c r="AW57" s="75"/>
      <c r="AX57" s="75"/>
      <c r="AY57" s="61"/>
      <c r="AZ57" s="1"/>
      <c r="BA57" s="1"/>
      <c r="BB57" s="62">
        <v>504480</v>
      </c>
      <c r="BC57" s="62">
        <f t="shared" si="6"/>
        <v>0</v>
      </c>
      <c r="BD57" s="62"/>
      <c r="BE57" s="62"/>
      <c r="BF57" s="1"/>
      <c r="BG57" s="1"/>
      <c r="BH57" s="1">
        <f t="shared" si="7"/>
        <v>0</v>
      </c>
      <c r="BI57" s="1"/>
      <c r="BJ57" s="1">
        <v>0</v>
      </c>
      <c r="BK57" s="1"/>
      <c r="BL57" s="1"/>
      <c r="BM57" s="1"/>
      <c r="BN57" s="1"/>
      <c r="BO57" s="1"/>
      <c r="BP57" s="1"/>
      <c r="BQ57" s="1"/>
      <c r="BR57" s="1">
        <v>0</v>
      </c>
      <c r="BS57" s="1"/>
      <c r="BT57" s="1"/>
      <c r="BU57" s="1"/>
      <c r="BV57" s="1"/>
      <c r="BW57" s="1"/>
      <c r="BX57" s="1"/>
      <c r="BY57" s="1">
        <v>250000</v>
      </c>
      <c r="BZ57" s="1"/>
      <c r="CA57" s="1"/>
      <c r="CB57" s="1">
        <v>70000</v>
      </c>
      <c r="CC57" s="1"/>
      <c r="CD57" s="1"/>
      <c r="CE57" s="1"/>
      <c r="CF57" s="1"/>
      <c r="CG57" s="1"/>
      <c r="CH57" s="1"/>
      <c r="CI57" s="1"/>
      <c r="CJ57" s="75"/>
      <c r="CK57" s="75"/>
      <c r="CL57" s="1">
        <f t="shared" si="23"/>
        <v>1368951</v>
      </c>
    </row>
    <row r="58" spans="1:90" ht="71.25" customHeight="1" x14ac:dyDescent="0.95">
      <c r="A58" s="2" t="s">
        <v>46</v>
      </c>
      <c r="B58" s="95" t="s">
        <v>144</v>
      </c>
      <c r="C58" s="95"/>
      <c r="D58" s="44"/>
      <c r="E58" s="44"/>
      <c r="F58" s="44"/>
      <c r="G58" s="44"/>
      <c r="H58" s="44"/>
      <c r="I58" s="44"/>
      <c r="J58" s="44"/>
      <c r="K58" s="1">
        <v>4200</v>
      </c>
      <c r="L58" s="44"/>
      <c r="M58" s="45"/>
      <c r="N58" s="44"/>
      <c r="O58" s="44"/>
      <c r="P58" s="44"/>
      <c r="Q58" s="44"/>
      <c r="R58" s="44"/>
      <c r="S58" s="44"/>
      <c r="T58" s="44"/>
      <c r="U58" s="44"/>
      <c r="V58" s="44"/>
      <c r="W58" s="1">
        <f t="shared" si="22"/>
        <v>4200</v>
      </c>
      <c r="X58" s="1"/>
      <c r="Y58" s="1">
        <v>1423372</v>
      </c>
      <c r="Z58" s="1"/>
      <c r="AA58" s="76"/>
      <c r="AB58" s="76"/>
      <c r="AC58" s="75"/>
      <c r="AD58" s="75"/>
      <c r="AE58" s="75"/>
      <c r="AF58" s="75"/>
      <c r="AG58" s="75"/>
      <c r="AH58" s="1">
        <f t="shared" si="31"/>
        <v>0</v>
      </c>
      <c r="AI58" s="1"/>
      <c r="AJ58" s="1"/>
      <c r="AK58" s="1"/>
      <c r="AL58" s="1">
        <f t="shared" si="3"/>
        <v>0</v>
      </c>
      <c r="AM58" s="26"/>
      <c r="AN58" s="26"/>
      <c r="AO58" s="26"/>
      <c r="AP58" s="26"/>
      <c r="AQ58" s="1"/>
      <c r="AR58" s="1">
        <f t="shared" si="4"/>
        <v>148400</v>
      </c>
      <c r="AS58" s="1">
        <f>100058+4942</f>
        <v>105000</v>
      </c>
      <c r="AT58" s="1">
        <f>53011-9611</f>
        <v>43400</v>
      </c>
      <c r="AU58" s="1">
        <f t="shared" si="32"/>
        <v>157936</v>
      </c>
      <c r="AV58" s="1">
        <f>156919+1017</f>
        <v>157936</v>
      </c>
      <c r="AW58" s="75"/>
      <c r="AX58" s="75"/>
      <c r="AY58" s="61"/>
      <c r="AZ58" s="1"/>
      <c r="BA58" s="1"/>
      <c r="BB58" s="62">
        <v>42040</v>
      </c>
      <c r="BC58" s="62">
        <f t="shared" si="6"/>
        <v>0</v>
      </c>
      <c r="BD58" s="62"/>
      <c r="BE58" s="62"/>
      <c r="BF58" s="1"/>
      <c r="BG58" s="1"/>
      <c r="BH58" s="1">
        <f t="shared" si="7"/>
        <v>0</v>
      </c>
      <c r="BI58" s="1"/>
      <c r="BJ58" s="1">
        <v>0</v>
      </c>
      <c r="BK58" s="1"/>
      <c r="BL58" s="1"/>
      <c r="BM58" s="1"/>
      <c r="BN58" s="35"/>
      <c r="BO58" s="35"/>
      <c r="BP58" s="35"/>
      <c r="BQ58" s="35"/>
      <c r="BR58" s="1">
        <v>0</v>
      </c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>
        <v>420000</v>
      </c>
      <c r="CG58" s="1"/>
      <c r="CH58" s="1"/>
      <c r="CI58" s="1"/>
      <c r="CJ58" s="75"/>
      <c r="CK58" s="75"/>
      <c r="CL58" s="1">
        <f t="shared" si="23"/>
        <v>2191748</v>
      </c>
    </row>
    <row r="59" spans="1:90" ht="71.25" customHeight="1" x14ac:dyDescent="0.95">
      <c r="A59" s="2" t="s">
        <v>47</v>
      </c>
      <c r="B59" s="95" t="s">
        <v>145</v>
      </c>
      <c r="C59" s="95"/>
      <c r="D59" s="44"/>
      <c r="E59" s="44"/>
      <c r="F59" s="44"/>
      <c r="G59" s="44"/>
      <c r="H59" s="44"/>
      <c r="I59" s="44"/>
      <c r="J59" s="44"/>
      <c r="K59" s="1">
        <v>13800</v>
      </c>
      <c r="L59" s="44"/>
      <c r="M59" s="45"/>
      <c r="N59" s="44"/>
      <c r="O59" s="44"/>
      <c r="P59" s="44"/>
      <c r="Q59" s="44"/>
      <c r="R59" s="44"/>
      <c r="S59" s="44"/>
      <c r="T59" s="44"/>
      <c r="U59" s="44"/>
      <c r="V59" s="44"/>
      <c r="W59" s="1">
        <f t="shared" si="22"/>
        <v>13800</v>
      </c>
      <c r="X59" s="1"/>
      <c r="Y59" s="1">
        <v>4240892</v>
      </c>
      <c r="Z59" s="1"/>
      <c r="AA59" s="76"/>
      <c r="AB59" s="76"/>
      <c r="AC59" s="75"/>
      <c r="AD59" s="75"/>
      <c r="AE59" s="75"/>
      <c r="AF59" s="75"/>
      <c r="AG59" s="75"/>
      <c r="AH59" s="1">
        <f t="shared" si="31"/>
        <v>1119440</v>
      </c>
      <c r="AI59" s="1">
        <v>1119440</v>
      </c>
      <c r="AJ59" s="1"/>
      <c r="AK59" s="1"/>
      <c r="AL59" s="1">
        <f t="shared" si="3"/>
        <v>0</v>
      </c>
      <c r="AM59" s="26"/>
      <c r="AN59" s="26"/>
      <c r="AO59" s="26"/>
      <c r="AP59" s="26"/>
      <c r="AQ59" s="1"/>
      <c r="AR59" s="1">
        <f t="shared" si="4"/>
        <v>313014</v>
      </c>
      <c r="AS59" s="1">
        <f>207202+12812</f>
        <v>220014</v>
      </c>
      <c r="AT59" s="1">
        <f>109139-16139</f>
        <v>93000</v>
      </c>
      <c r="AU59" s="1">
        <f t="shared" si="32"/>
        <v>693233</v>
      </c>
      <c r="AV59" s="1">
        <f>515149+3259</f>
        <v>518408</v>
      </c>
      <c r="AW59" s="76">
        <v>174825</v>
      </c>
      <c r="AX59" s="76"/>
      <c r="AY59" s="61"/>
      <c r="AZ59" s="1"/>
      <c r="BA59" s="1"/>
      <c r="BB59" s="62">
        <v>567540</v>
      </c>
      <c r="BC59" s="62">
        <f t="shared" si="6"/>
        <v>0</v>
      </c>
      <c r="BD59" s="62"/>
      <c r="BE59" s="62"/>
      <c r="BF59" s="1">
        <v>276800</v>
      </c>
      <c r="BG59" s="1">
        <v>276800</v>
      </c>
      <c r="BH59" s="1">
        <f t="shared" si="7"/>
        <v>1740557</v>
      </c>
      <c r="BI59" s="1">
        <v>857157</v>
      </c>
      <c r="BJ59" s="1">
        <v>883400</v>
      </c>
      <c r="BK59" s="1"/>
      <c r="BL59" s="1"/>
      <c r="BM59" s="1"/>
      <c r="BN59" s="1"/>
      <c r="BO59" s="1"/>
      <c r="BP59" s="1"/>
      <c r="BQ59" s="1"/>
      <c r="BR59" s="1">
        <v>0</v>
      </c>
      <c r="BS59" s="1"/>
      <c r="BT59" s="1"/>
      <c r="BU59" s="1"/>
      <c r="BV59" s="1">
        <v>14267</v>
      </c>
      <c r="BW59" s="1"/>
      <c r="BX59" s="1"/>
      <c r="BY59" s="1">
        <f>380000+10000</f>
        <v>390000</v>
      </c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75"/>
      <c r="CK59" s="75"/>
      <c r="CL59" s="1">
        <f t="shared" si="23"/>
        <v>9355743</v>
      </c>
    </row>
    <row r="60" spans="1:90" ht="71.25" customHeight="1" x14ac:dyDescent="0.95">
      <c r="A60" s="2" t="s">
        <v>48</v>
      </c>
      <c r="B60" s="95" t="s">
        <v>146</v>
      </c>
      <c r="C60" s="95"/>
      <c r="D60" s="44"/>
      <c r="E60" s="44"/>
      <c r="F60" s="44"/>
      <c r="G60" s="44"/>
      <c r="H60" s="44"/>
      <c r="I60" s="44"/>
      <c r="J60" s="44"/>
      <c r="K60" s="1">
        <v>5900</v>
      </c>
      <c r="L60" s="44"/>
      <c r="M60" s="45"/>
      <c r="N60" s="44"/>
      <c r="O60" s="44"/>
      <c r="P60" s="44"/>
      <c r="Q60" s="44"/>
      <c r="R60" s="44"/>
      <c r="S60" s="44"/>
      <c r="T60" s="44"/>
      <c r="U60" s="44"/>
      <c r="V60" s="44"/>
      <c r="W60" s="1">
        <f t="shared" si="22"/>
        <v>5900</v>
      </c>
      <c r="X60" s="1"/>
      <c r="Y60" s="1">
        <v>1044458</v>
      </c>
      <c r="Z60" s="1"/>
      <c r="AA60" s="76"/>
      <c r="AB60" s="76"/>
      <c r="AC60" s="75"/>
      <c r="AD60" s="75"/>
      <c r="AE60" s="75"/>
      <c r="AF60" s="75"/>
      <c r="AG60" s="75"/>
      <c r="AH60" s="1">
        <f t="shared" si="31"/>
        <v>0</v>
      </c>
      <c r="AI60" s="1"/>
      <c r="AJ60" s="1"/>
      <c r="AK60" s="1"/>
      <c r="AL60" s="1">
        <f t="shared" si="3"/>
        <v>0</v>
      </c>
      <c r="AM60" s="26"/>
      <c r="AN60" s="26"/>
      <c r="AO60" s="26"/>
      <c r="AP60" s="26"/>
      <c r="AQ60" s="1"/>
      <c r="AR60" s="1">
        <f t="shared" si="4"/>
        <v>0</v>
      </c>
      <c r="AS60" s="1"/>
      <c r="AT60" s="1"/>
      <c r="AU60" s="1">
        <f t="shared" si="32"/>
        <v>143842</v>
      </c>
      <c r="AV60" s="1">
        <f>142917+925</f>
        <v>143842</v>
      </c>
      <c r="AW60" s="75"/>
      <c r="AX60" s="75"/>
      <c r="AY60" s="61"/>
      <c r="AZ60" s="1"/>
      <c r="BA60" s="1"/>
      <c r="BB60" s="62">
        <v>147140</v>
      </c>
      <c r="BC60" s="62">
        <f t="shared" si="6"/>
        <v>0</v>
      </c>
      <c r="BD60" s="62"/>
      <c r="BE60" s="62"/>
      <c r="BF60" s="1"/>
      <c r="BG60" s="1"/>
      <c r="BH60" s="1">
        <f t="shared" si="7"/>
        <v>0</v>
      </c>
      <c r="BI60" s="1"/>
      <c r="BJ60" s="1">
        <v>0</v>
      </c>
      <c r="BK60" s="1"/>
      <c r="BL60" s="1"/>
      <c r="BM60" s="1"/>
      <c r="BN60" s="1"/>
      <c r="BO60" s="1"/>
      <c r="BP60" s="1"/>
      <c r="BQ60" s="1"/>
      <c r="BR60" s="1">
        <v>0</v>
      </c>
      <c r="BS60" s="1"/>
      <c r="BT60" s="1"/>
      <c r="BU60" s="1"/>
      <c r="BV60" s="1"/>
      <c r="BW60" s="1"/>
      <c r="BX60" s="1"/>
      <c r="BY60" s="1">
        <v>250000</v>
      </c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75"/>
      <c r="CK60" s="75"/>
      <c r="CL60" s="1">
        <f t="shared" si="23"/>
        <v>1585440</v>
      </c>
    </row>
    <row r="61" spans="1:90" ht="71.25" customHeight="1" x14ac:dyDescent="0.95">
      <c r="A61" s="2" t="s">
        <v>49</v>
      </c>
      <c r="B61" s="95" t="s">
        <v>147</v>
      </c>
      <c r="C61" s="95"/>
      <c r="D61" s="44"/>
      <c r="E61" s="44"/>
      <c r="F61" s="44"/>
      <c r="G61" s="44"/>
      <c r="H61" s="44"/>
      <c r="I61" s="1">
        <f>11000000+15150000</f>
        <v>26150000</v>
      </c>
      <c r="J61" s="44"/>
      <c r="K61" s="1">
        <v>15000</v>
      </c>
      <c r="L61" s="1"/>
      <c r="M61" s="62"/>
      <c r="N61" s="1"/>
      <c r="O61" s="1"/>
      <c r="P61" s="1"/>
      <c r="Q61" s="1"/>
      <c r="R61" s="1"/>
      <c r="S61" s="1"/>
      <c r="T61" s="1"/>
      <c r="U61" s="1"/>
      <c r="V61" s="1"/>
      <c r="W61" s="1">
        <f t="shared" si="22"/>
        <v>26165000</v>
      </c>
      <c r="X61" s="1"/>
      <c r="Y61" s="1"/>
      <c r="Z61" s="1"/>
      <c r="AA61" s="76"/>
      <c r="AB61" s="76"/>
      <c r="AC61" s="75"/>
      <c r="AD61" s="75"/>
      <c r="AE61" s="75"/>
      <c r="AF61" s="75"/>
      <c r="AG61" s="75"/>
      <c r="AH61" s="1">
        <f t="shared" si="31"/>
        <v>0</v>
      </c>
      <c r="AI61" s="1"/>
      <c r="AJ61" s="1"/>
      <c r="AK61" s="1"/>
      <c r="AL61" s="1">
        <f t="shared" si="3"/>
        <v>0</v>
      </c>
      <c r="AM61" s="26"/>
      <c r="AN61" s="26"/>
      <c r="AO61" s="26"/>
      <c r="AP61" s="26"/>
      <c r="AQ61" s="1"/>
      <c r="AR61" s="1">
        <f t="shared" si="4"/>
        <v>18707</v>
      </c>
      <c r="AS61" s="1">
        <f>10690+1817</f>
        <v>12507</v>
      </c>
      <c r="AT61" s="1">
        <f>5345+855</f>
        <v>6200</v>
      </c>
      <c r="AU61" s="1">
        <f t="shared" si="32"/>
        <v>433377</v>
      </c>
      <c r="AV61" s="1">
        <f>430768+2609</f>
        <v>433377</v>
      </c>
      <c r="AW61" s="75"/>
      <c r="AX61" s="75"/>
      <c r="AY61" s="61"/>
      <c r="AZ61" s="1"/>
      <c r="BA61" s="1"/>
      <c r="BB61" s="62">
        <v>567540</v>
      </c>
      <c r="BC61" s="62">
        <f t="shared" si="6"/>
        <v>0</v>
      </c>
      <c r="BD61" s="62"/>
      <c r="BE61" s="62"/>
      <c r="BF61" s="1">
        <v>482033</v>
      </c>
      <c r="BG61" s="1">
        <v>482033</v>
      </c>
      <c r="BH61" s="1">
        <f t="shared" si="7"/>
        <v>1492696</v>
      </c>
      <c r="BI61" s="1">
        <v>1492696</v>
      </c>
      <c r="BJ61" s="1">
        <v>0</v>
      </c>
      <c r="BK61" s="1"/>
      <c r="BL61" s="1"/>
      <c r="BM61" s="1"/>
      <c r="BN61" s="1"/>
      <c r="BO61" s="1"/>
      <c r="BP61" s="1"/>
      <c r="BQ61" s="1"/>
      <c r="BR61" s="1">
        <v>0</v>
      </c>
      <c r="BS61" s="1"/>
      <c r="BT61" s="1"/>
      <c r="BU61" s="1"/>
      <c r="BV61" s="1">
        <v>8623</v>
      </c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75"/>
      <c r="CK61" s="75"/>
      <c r="CL61" s="1">
        <f t="shared" si="23"/>
        <v>3002976</v>
      </c>
    </row>
    <row r="62" spans="1:90" ht="62.25" customHeight="1" x14ac:dyDescent="0.95">
      <c r="A62" s="2" t="s">
        <v>81</v>
      </c>
      <c r="B62" s="95" t="s">
        <v>148</v>
      </c>
      <c r="C62" s="95"/>
      <c r="D62" s="44"/>
      <c r="E62" s="44"/>
      <c r="F62" s="44"/>
      <c r="G62" s="44"/>
      <c r="H62" s="44"/>
      <c r="I62" s="1"/>
      <c r="J62" s="44"/>
      <c r="K62" s="1">
        <v>7400</v>
      </c>
      <c r="L62" s="44"/>
      <c r="M62" s="45"/>
      <c r="N62" s="44"/>
      <c r="O62" s="44"/>
      <c r="P62" s="44"/>
      <c r="Q62" s="44"/>
      <c r="R62" s="44"/>
      <c r="S62" s="44"/>
      <c r="T62" s="44"/>
      <c r="U62" s="44"/>
      <c r="V62" s="44"/>
      <c r="W62" s="1">
        <f t="shared" si="22"/>
        <v>7400</v>
      </c>
      <c r="X62" s="1"/>
      <c r="Y62" s="1">
        <v>2961150</v>
      </c>
      <c r="Z62" s="1"/>
      <c r="AA62" s="76"/>
      <c r="AB62" s="76"/>
      <c r="AC62" s="75"/>
      <c r="AD62" s="75"/>
      <c r="AE62" s="75"/>
      <c r="AF62" s="75"/>
      <c r="AG62" s="75"/>
      <c r="AH62" s="1">
        <f t="shared" si="31"/>
        <v>0</v>
      </c>
      <c r="AI62" s="1"/>
      <c r="AJ62" s="1"/>
      <c r="AK62" s="1"/>
      <c r="AL62" s="1">
        <f t="shared" si="3"/>
        <v>0</v>
      </c>
      <c r="AM62" s="26"/>
      <c r="AN62" s="26"/>
      <c r="AO62" s="26"/>
      <c r="AP62" s="26"/>
      <c r="AQ62" s="1"/>
      <c r="AR62" s="1">
        <f t="shared" si="4"/>
        <v>84800</v>
      </c>
      <c r="AS62" s="1">
        <f>57176+2824</f>
        <v>60000</v>
      </c>
      <c r="AT62" s="1">
        <f>30292-5492</f>
        <v>24800</v>
      </c>
      <c r="AU62" s="1">
        <f t="shared" si="32"/>
        <v>304030</v>
      </c>
      <c r="AV62" s="1">
        <f>302039+1991</f>
        <v>304030</v>
      </c>
      <c r="AW62" s="75"/>
      <c r="AX62" s="75"/>
      <c r="AY62" s="61"/>
      <c r="AZ62" s="1"/>
      <c r="BA62" s="1"/>
      <c r="BB62" s="62">
        <v>252240</v>
      </c>
      <c r="BC62" s="62">
        <f t="shared" si="6"/>
        <v>0</v>
      </c>
      <c r="BD62" s="62"/>
      <c r="BE62" s="62"/>
      <c r="BF62" s="1"/>
      <c r="BG62" s="1"/>
      <c r="BH62" s="1">
        <f t="shared" si="7"/>
        <v>0</v>
      </c>
      <c r="BI62" s="1"/>
      <c r="BJ62" s="1">
        <v>0</v>
      </c>
      <c r="BK62" s="1"/>
      <c r="BL62" s="1"/>
      <c r="BM62" s="1"/>
      <c r="BN62" s="1"/>
      <c r="BO62" s="1"/>
      <c r="BP62" s="1"/>
      <c r="BQ62" s="1"/>
      <c r="BR62" s="1">
        <v>0</v>
      </c>
      <c r="BS62" s="1"/>
      <c r="BT62" s="1"/>
      <c r="BU62" s="1"/>
      <c r="BV62" s="1"/>
      <c r="BW62" s="1"/>
      <c r="BX62" s="1"/>
      <c r="BY62" s="1">
        <f>300000-230000</f>
        <v>70000</v>
      </c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75"/>
      <c r="CK62" s="75"/>
      <c r="CL62" s="1">
        <f t="shared" si="23"/>
        <v>3672220</v>
      </c>
    </row>
    <row r="63" spans="1:90" ht="62.25" customHeight="1" x14ac:dyDescent="0.95">
      <c r="A63" s="2" t="s">
        <v>50</v>
      </c>
      <c r="B63" s="95" t="s">
        <v>149</v>
      </c>
      <c r="C63" s="95"/>
      <c r="D63" s="44"/>
      <c r="E63" s="44"/>
      <c r="F63" s="44"/>
      <c r="G63" s="44"/>
      <c r="H63" s="44"/>
      <c r="I63" s="1"/>
      <c r="J63" s="44"/>
      <c r="K63" s="47">
        <v>5100</v>
      </c>
      <c r="L63" s="44"/>
      <c r="M63" s="45"/>
      <c r="N63" s="44"/>
      <c r="O63" s="44"/>
      <c r="P63" s="44"/>
      <c r="Q63" s="44"/>
      <c r="R63" s="44"/>
      <c r="S63" s="62">
        <v>200000</v>
      </c>
      <c r="T63" s="44"/>
      <c r="U63" s="44"/>
      <c r="V63" s="44"/>
      <c r="W63" s="1">
        <f t="shared" si="22"/>
        <v>205100</v>
      </c>
      <c r="X63" s="1"/>
      <c r="Y63" s="1">
        <v>865846</v>
      </c>
      <c r="Z63" s="1"/>
      <c r="AA63" s="76"/>
      <c r="AB63" s="76"/>
      <c r="AC63" s="75"/>
      <c r="AD63" s="75"/>
      <c r="AE63" s="75"/>
      <c r="AF63" s="75"/>
      <c r="AG63" s="75"/>
      <c r="AH63" s="1">
        <f t="shared" si="31"/>
        <v>0</v>
      </c>
      <c r="AI63" s="1"/>
      <c r="AJ63" s="1"/>
      <c r="AK63" s="1"/>
      <c r="AL63" s="1">
        <f t="shared" si="3"/>
        <v>1000000</v>
      </c>
      <c r="AM63" s="26"/>
      <c r="AN63" s="26"/>
      <c r="AO63" s="26"/>
      <c r="AP63" s="26"/>
      <c r="AQ63" s="1">
        <v>1000000</v>
      </c>
      <c r="AR63" s="1">
        <f t="shared" si="4"/>
        <v>42400</v>
      </c>
      <c r="AS63" s="1">
        <f>28588+1412</f>
        <v>30000</v>
      </c>
      <c r="AT63" s="1">
        <f>15146-2746</f>
        <v>12400</v>
      </c>
      <c r="AU63" s="1">
        <f t="shared" si="32"/>
        <v>129879</v>
      </c>
      <c r="AV63" s="1">
        <f>129068+811</f>
        <v>129879</v>
      </c>
      <c r="AW63" s="75"/>
      <c r="AX63" s="75"/>
      <c r="AY63" s="61"/>
      <c r="AZ63" s="1"/>
      <c r="BA63" s="1"/>
      <c r="BB63" s="62">
        <v>231220</v>
      </c>
      <c r="BC63" s="62">
        <f t="shared" si="6"/>
        <v>0</v>
      </c>
      <c r="BD63" s="62"/>
      <c r="BE63" s="62"/>
      <c r="BF63" s="1"/>
      <c r="BG63" s="1"/>
      <c r="BH63" s="1">
        <f t="shared" si="7"/>
        <v>0</v>
      </c>
      <c r="BI63" s="1"/>
      <c r="BJ63" s="1">
        <v>0</v>
      </c>
      <c r="BK63" s="1"/>
      <c r="BL63" s="1"/>
      <c r="BM63" s="1"/>
      <c r="BN63" s="1"/>
      <c r="BO63" s="1"/>
      <c r="BP63" s="1"/>
      <c r="BQ63" s="1"/>
      <c r="BR63" s="1">
        <v>0</v>
      </c>
      <c r="BS63" s="1"/>
      <c r="BT63" s="1"/>
      <c r="BU63" s="1"/>
      <c r="BV63" s="1"/>
      <c r="BW63" s="1"/>
      <c r="BX63" s="1"/>
      <c r="BY63" s="1">
        <v>50000</v>
      </c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75"/>
      <c r="CK63" s="75"/>
      <c r="CL63" s="1">
        <f t="shared" si="23"/>
        <v>2319345</v>
      </c>
    </row>
    <row r="64" spans="1:90" ht="62.25" customHeight="1" x14ac:dyDescent="0.95">
      <c r="A64" s="2" t="s">
        <v>51</v>
      </c>
      <c r="B64" s="95" t="s">
        <v>150</v>
      </c>
      <c r="C64" s="95"/>
      <c r="D64" s="44"/>
      <c r="E64" s="44"/>
      <c r="F64" s="44"/>
      <c r="G64" s="44"/>
      <c r="H64" s="44"/>
      <c r="I64" s="1"/>
      <c r="J64" s="44"/>
      <c r="K64" s="1">
        <v>5800</v>
      </c>
      <c r="L64" s="44"/>
      <c r="M64" s="45"/>
      <c r="N64" s="44"/>
      <c r="O64" s="44"/>
      <c r="P64" s="44"/>
      <c r="Q64" s="44"/>
      <c r="R64" s="44"/>
      <c r="S64" s="62">
        <v>200000</v>
      </c>
      <c r="T64" s="44"/>
      <c r="U64" s="44"/>
      <c r="V64" s="44"/>
      <c r="W64" s="1">
        <f t="shared" si="22"/>
        <v>205800</v>
      </c>
      <c r="X64" s="1"/>
      <c r="Y64" s="1">
        <v>2312805</v>
      </c>
      <c r="Z64" s="1"/>
      <c r="AA64" s="76"/>
      <c r="AB64" s="76"/>
      <c r="AC64" s="75"/>
      <c r="AD64" s="75"/>
      <c r="AE64" s="75"/>
      <c r="AF64" s="75"/>
      <c r="AG64" s="75"/>
      <c r="AH64" s="1">
        <f t="shared" si="31"/>
        <v>0</v>
      </c>
      <c r="AI64" s="1"/>
      <c r="AJ64" s="1"/>
      <c r="AK64" s="1"/>
      <c r="AL64" s="1">
        <f t="shared" si="3"/>
        <v>766900</v>
      </c>
      <c r="AM64" s="26"/>
      <c r="AN64" s="26"/>
      <c r="AO64" s="26"/>
      <c r="AP64" s="26"/>
      <c r="AQ64" s="1">
        <v>766900</v>
      </c>
      <c r="AR64" s="1">
        <f t="shared" si="4"/>
        <v>21200</v>
      </c>
      <c r="AS64" s="1">
        <f>14294+706</f>
        <v>15000</v>
      </c>
      <c r="AT64" s="1">
        <f>7573-1373</f>
        <v>6200</v>
      </c>
      <c r="AU64" s="1">
        <f t="shared" si="32"/>
        <v>185695</v>
      </c>
      <c r="AV64" s="1">
        <f>184511+1184</f>
        <v>185695</v>
      </c>
      <c r="AW64" s="75"/>
      <c r="AX64" s="75"/>
      <c r="AY64" s="61"/>
      <c r="AZ64" s="1"/>
      <c r="BA64" s="1"/>
      <c r="BB64" s="62">
        <v>210200</v>
      </c>
      <c r="BC64" s="62">
        <f t="shared" si="6"/>
        <v>0</v>
      </c>
      <c r="BD64" s="62"/>
      <c r="BE64" s="62"/>
      <c r="BF64" s="1"/>
      <c r="BG64" s="1"/>
      <c r="BH64" s="1">
        <f t="shared" si="7"/>
        <v>0</v>
      </c>
      <c r="BI64" s="1"/>
      <c r="BJ64" s="1">
        <v>0</v>
      </c>
      <c r="BK64" s="1"/>
      <c r="BL64" s="1"/>
      <c r="BM64" s="1"/>
      <c r="BN64" s="1"/>
      <c r="BO64" s="1"/>
      <c r="BP64" s="1"/>
      <c r="BQ64" s="1"/>
      <c r="BR64" s="1">
        <v>0</v>
      </c>
      <c r="BS64" s="1"/>
      <c r="BT64" s="1"/>
      <c r="BU64" s="1"/>
      <c r="BV64" s="1"/>
      <c r="BW64" s="1"/>
      <c r="BX64" s="1"/>
      <c r="BY64" s="1">
        <v>100000</v>
      </c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75"/>
      <c r="CK64" s="75"/>
      <c r="CL64" s="1">
        <f t="shared" si="23"/>
        <v>3596800</v>
      </c>
    </row>
    <row r="65" spans="1:90" ht="62.25" customHeight="1" x14ac:dyDescent="0.95">
      <c r="A65" s="2" t="s">
        <v>52</v>
      </c>
      <c r="B65" s="95" t="s">
        <v>151</v>
      </c>
      <c r="C65" s="95"/>
      <c r="D65" s="44"/>
      <c r="E65" s="44"/>
      <c r="F65" s="44"/>
      <c r="G65" s="44"/>
      <c r="H65" s="44"/>
      <c r="I65" s="1"/>
      <c r="J65" s="44"/>
      <c r="K65" s="47">
        <v>20300</v>
      </c>
      <c r="L65" s="44"/>
      <c r="M65" s="45"/>
      <c r="N65" s="44"/>
      <c r="O65" s="44"/>
      <c r="P65" s="44"/>
      <c r="Q65" s="44"/>
      <c r="R65" s="44"/>
      <c r="S65" s="62">
        <v>200000</v>
      </c>
      <c r="T65" s="44"/>
      <c r="U65" s="44"/>
      <c r="V65" s="44"/>
      <c r="W65" s="1">
        <f t="shared" si="22"/>
        <v>220300</v>
      </c>
      <c r="X65" s="1"/>
      <c r="Y65" s="1">
        <v>5389487</v>
      </c>
      <c r="Z65" s="1"/>
      <c r="AA65" s="76"/>
      <c r="AB65" s="76"/>
      <c r="AC65" s="75"/>
      <c r="AD65" s="75"/>
      <c r="AE65" s="75"/>
      <c r="AF65" s="75"/>
      <c r="AG65" s="75"/>
      <c r="AH65" s="1">
        <f t="shared" si="31"/>
        <v>794903</v>
      </c>
      <c r="AI65" s="1">
        <v>794903</v>
      </c>
      <c r="AJ65" s="1"/>
      <c r="AK65" s="1"/>
      <c r="AL65" s="1">
        <f t="shared" si="3"/>
        <v>509000</v>
      </c>
      <c r="AM65" s="26"/>
      <c r="AN65" s="26"/>
      <c r="AO65" s="26"/>
      <c r="AP65" s="26"/>
      <c r="AQ65" s="1">
        <v>509000</v>
      </c>
      <c r="AR65" s="1">
        <f t="shared" si="4"/>
        <v>419014</v>
      </c>
      <c r="AS65" s="1">
        <f>278672+16342</f>
        <v>295014</v>
      </c>
      <c r="AT65" s="1">
        <f>147004-23004</f>
        <v>124000</v>
      </c>
      <c r="AU65" s="1">
        <f t="shared" si="32"/>
        <v>762898</v>
      </c>
      <c r="AV65" s="1">
        <f>757977+4921</f>
        <v>762898</v>
      </c>
      <c r="AW65" s="75"/>
      <c r="AX65" s="75"/>
      <c r="AY65" s="61"/>
      <c r="AZ65" s="1"/>
      <c r="BA65" s="1"/>
      <c r="BB65" s="62">
        <v>672640</v>
      </c>
      <c r="BC65" s="62">
        <f t="shared" si="6"/>
        <v>0</v>
      </c>
      <c r="BD65" s="62"/>
      <c r="BE65" s="62"/>
      <c r="BF65" s="1">
        <v>232596</v>
      </c>
      <c r="BG65" s="1">
        <v>232596</v>
      </c>
      <c r="BH65" s="1">
        <f t="shared" si="7"/>
        <v>1470872</v>
      </c>
      <c r="BI65" s="1">
        <v>720272</v>
      </c>
      <c r="BJ65" s="1">
        <v>750600</v>
      </c>
      <c r="BK65" s="1"/>
      <c r="BL65" s="1"/>
      <c r="BM65" s="1"/>
      <c r="BN65" s="1"/>
      <c r="BO65" s="1"/>
      <c r="BP65" s="1"/>
      <c r="BQ65" s="1"/>
      <c r="BR65" s="1">
        <v>0</v>
      </c>
      <c r="BS65" s="1"/>
      <c r="BT65" s="1"/>
      <c r="BU65" s="1"/>
      <c r="BV65" s="1">
        <v>8478</v>
      </c>
      <c r="BW65" s="1"/>
      <c r="BX65" s="1"/>
      <c r="BY65" s="1">
        <v>85000</v>
      </c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75"/>
      <c r="CK65" s="75"/>
      <c r="CL65" s="1">
        <f t="shared" si="23"/>
        <v>10344888</v>
      </c>
    </row>
    <row r="66" spans="1:90" ht="62.25" customHeight="1" x14ac:dyDescent="0.95">
      <c r="A66" s="2" t="s">
        <v>78</v>
      </c>
      <c r="B66" s="95" t="s">
        <v>152</v>
      </c>
      <c r="C66" s="95"/>
      <c r="D66" s="44"/>
      <c r="E66" s="44"/>
      <c r="F66" s="44"/>
      <c r="G66" s="44"/>
      <c r="H66" s="44"/>
      <c r="I66" s="1"/>
      <c r="J66" s="44"/>
      <c r="K66" s="1">
        <v>3800</v>
      </c>
      <c r="L66" s="44"/>
      <c r="M66" s="45"/>
      <c r="N66" s="44"/>
      <c r="O66" s="44"/>
      <c r="P66" s="44"/>
      <c r="Q66" s="44"/>
      <c r="R66" s="44"/>
      <c r="S66" s="62">
        <v>200000</v>
      </c>
      <c r="T66" s="44"/>
      <c r="U66" s="44"/>
      <c r="V66" s="44"/>
      <c r="W66" s="1">
        <f t="shared" si="22"/>
        <v>203800</v>
      </c>
      <c r="X66" s="1"/>
      <c r="Y66" s="1">
        <v>1067300</v>
      </c>
      <c r="Z66" s="1"/>
      <c r="AA66" s="76"/>
      <c r="AB66" s="76"/>
      <c r="AC66" s="75"/>
      <c r="AD66" s="75"/>
      <c r="AE66" s="75"/>
      <c r="AF66" s="75"/>
      <c r="AG66" s="75"/>
      <c r="AH66" s="1">
        <f t="shared" si="31"/>
        <v>0</v>
      </c>
      <c r="AI66" s="1"/>
      <c r="AJ66" s="1"/>
      <c r="AK66" s="1"/>
      <c r="AL66" s="1">
        <f t="shared" si="3"/>
        <v>0</v>
      </c>
      <c r="AM66" s="26"/>
      <c r="AN66" s="26"/>
      <c r="AO66" s="26"/>
      <c r="AP66" s="26"/>
      <c r="AQ66" s="1"/>
      <c r="AR66" s="1">
        <f t="shared" si="4"/>
        <v>0</v>
      </c>
      <c r="AS66" s="1"/>
      <c r="AT66" s="1"/>
      <c r="AU66" s="1">
        <f t="shared" si="32"/>
        <v>119142</v>
      </c>
      <c r="AV66" s="1">
        <f>118391+751</f>
        <v>119142</v>
      </c>
      <c r="AW66" s="75"/>
      <c r="AX66" s="75"/>
      <c r="AY66" s="61"/>
      <c r="AZ66" s="1"/>
      <c r="BA66" s="1"/>
      <c r="BB66" s="62">
        <v>105100</v>
      </c>
      <c r="BC66" s="62">
        <f t="shared" si="6"/>
        <v>0</v>
      </c>
      <c r="BD66" s="62"/>
      <c r="BE66" s="62"/>
      <c r="BF66" s="1"/>
      <c r="BG66" s="1"/>
      <c r="BH66" s="1">
        <f t="shared" si="7"/>
        <v>0</v>
      </c>
      <c r="BI66" s="1"/>
      <c r="BJ66" s="1">
        <v>0</v>
      </c>
      <c r="BK66" s="1"/>
      <c r="BL66" s="1"/>
      <c r="BM66" s="1"/>
      <c r="BN66" s="1"/>
      <c r="BO66" s="1"/>
      <c r="BP66" s="1"/>
      <c r="BQ66" s="1"/>
      <c r="BR66" s="1">
        <v>0</v>
      </c>
      <c r="BS66" s="1"/>
      <c r="BT66" s="1"/>
      <c r="BU66" s="1"/>
      <c r="BV66" s="1"/>
      <c r="BW66" s="1"/>
      <c r="BX66" s="1"/>
      <c r="BY66" s="1">
        <v>40000</v>
      </c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75"/>
      <c r="CK66" s="75"/>
      <c r="CL66" s="1">
        <f t="shared" si="23"/>
        <v>1331542</v>
      </c>
    </row>
    <row r="67" spans="1:90" ht="62.25" customHeight="1" x14ac:dyDescent="0.95">
      <c r="A67" s="2" t="s">
        <v>53</v>
      </c>
      <c r="B67" s="95" t="s">
        <v>153</v>
      </c>
      <c r="C67" s="95"/>
      <c r="D67" s="44"/>
      <c r="E67" s="44"/>
      <c r="F67" s="44"/>
      <c r="G67" s="44"/>
      <c r="H67" s="44"/>
      <c r="I67" s="1"/>
      <c r="J67" s="44"/>
      <c r="K67" s="1">
        <v>8700</v>
      </c>
      <c r="L67" s="44"/>
      <c r="M67" s="45"/>
      <c r="N67" s="44"/>
      <c r="O67" s="44"/>
      <c r="P67" s="44"/>
      <c r="Q67" s="44"/>
      <c r="R67" s="44"/>
      <c r="S67" s="62">
        <v>200000</v>
      </c>
      <c r="T67" s="44"/>
      <c r="U67" s="44"/>
      <c r="V67" s="44"/>
      <c r="W67" s="1">
        <f t="shared" si="22"/>
        <v>208700</v>
      </c>
      <c r="X67" s="1"/>
      <c r="Y67" s="1">
        <v>3817131</v>
      </c>
      <c r="Z67" s="1"/>
      <c r="AA67" s="76"/>
      <c r="AB67" s="76"/>
      <c r="AC67" s="75"/>
      <c r="AD67" s="75"/>
      <c r="AE67" s="75"/>
      <c r="AF67" s="75"/>
      <c r="AG67" s="75"/>
      <c r="AH67" s="1">
        <f t="shared" si="31"/>
        <v>810248</v>
      </c>
      <c r="AI67" s="1">
        <v>810248</v>
      </c>
      <c r="AJ67" s="1"/>
      <c r="AK67" s="1"/>
      <c r="AL67" s="1">
        <f t="shared" si="3"/>
        <v>296000</v>
      </c>
      <c r="AM67" s="26"/>
      <c r="AN67" s="26"/>
      <c r="AO67" s="26"/>
      <c r="AP67" s="26"/>
      <c r="AQ67" s="1">
        <v>296000</v>
      </c>
      <c r="AR67" s="1">
        <f t="shared" si="4"/>
        <v>294307</v>
      </c>
      <c r="AS67" s="1">
        <f>196512+10995</f>
        <v>207507</v>
      </c>
      <c r="AT67" s="1">
        <f>103794-16994</f>
        <v>86800</v>
      </c>
      <c r="AU67" s="1">
        <f t="shared" si="32"/>
        <v>327585</v>
      </c>
      <c r="AV67" s="1">
        <f>325486+2099</f>
        <v>327585</v>
      </c>
      <c r="AW67" s="75"/>
      <c r="AX67" s="75"/>
      <c r="AY67" s="61"/>
      <c r="AZ67" s="1"/>
      <c r="BA67" s="1"/>
      <c r="BB67" s="62">
        <v>231220</v>
      </c>
      <c r="BC67" s="62">
        <f t="shared" si="6"/>
        <v>0</v>
      </c>
      <c r="BD67" s="62"/>
      <c r="BE67" s="62"/>
      <c r="BF67" s="1">
        <v>205232</v>
      </c>
      <c r="BG67" s="1">
        <v>205232</v>
      </c>
      <c r="BH67" s="1">
        <f t="shared" si="7"/>
        <v>1576835</v>
      </c>
      <c r="BI67" s="1">
        <v>635535</v>
      </c>
      <c r="BJ67" s="1">
        <v>941300</v>
      </c>
      <c r="BK67" s="1"/>
      <c r="BL67" s="1"/>
      <c r="BM67" s="1"/>
      <c r="BN67" s="1"/>
      <c r="BO67" s="1"/>
      <c r="BP67" s="1"/>
      <c r="BQ67" s="1"/>
      <c r="BR67" s="1">
        <v>0</v>
      </c>
      <c r="BS67" s="1"/>
      <c r="BT67" s="1"/>
      <c r="BU67" s="1"/>
      <c r="BV67" s="1">
        <v>6517</v>
      </c>
      <c r="BW67" s="1"/>
      <c r="BX67" s="1"/>
      <c r="BY67" s="1">
        <v>100000</v>
      </c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75"/>
      <c r="CK67" s="75"/>
      <c r="CL67" s="1">
        <f t="shared" si="23"/>
        <v>7665075</v>
      </c>
    </row>
    <row r="68" spans="1:90" ht="62.25" customHeight="1" x14ac:dyDescent="0.95">
      <c r="A68" s="2" t="s">
        <v>85</v>
      </c>
      <c r="B68" s="95" t="s">
        <v>154</v>
      </c>
      <c r="C68" s="95"/>
      <c r="D68" s="44"/>
      <c r="E68" s="44"/>
      <c r="F68" s="44"/>
      <c r="G68" s="44"/>
      <c r="H68" s="44"/>
      <c r="I68" s="44"/>
      <c r="J68" s="44"/>
      <c r="K68" s="1">
        <v>3400</v>
      </c>
      <c r="L68" s="44"/>
      <c r="M68" s="45">
        <v>50000</v>
      </c>
      <c r="N68" s="44"/>
      <c r="O68" s="44"/>
      <c r="P68" s="44"/>
      <c r="Q68" s="44"/>
      <c r="R68" s="44"/>
      <c r="S68" s="62">
        <v>200000</v>
      </c>
      <c r="T68" s="44"/>
      <c r="U68" s="44"/>
      <c r="V68" s="44"/>
      <c r="W68" s="1">
        <f t="shared" si="22"/>
        <v>253400</v>
      </c>
      <c r="X68" s="1"/>
      <c r="Y68" s="1">
        <v>719009</v>
      </c>
      <c r="Z68" s="1"/>
      <c r="AA68" s="76"/>
      <c r="AB68" s="76"/>
      <c r="AC68" s="75"/>
      <c r="AD68" s="75"/>
      <c r="AE68" s="75"/>
      <c r="AF68" s="75"/>
      <c r="AG68" s="75"/>
      <c r="AH68" s="1">
        <f t="shared" si="31"/>
        <v>0</v>
      </c>
      <c r="AI68" s="1"/>
      <c r="AJ68" s="1"/>
      <c r="AK68" s="1"/>
      <c r="AL68" s="1">
        <f t="shared" si="3"/>
        <v>0</v>
      </c>
      <c r="AM68" s="26"/>
      <c r="AN68" s="26"/>
      <c r="AO68" s="26"/>
      <c r="AP68" s="26"/>
      <c r="AQ68" s="1"/>
      <c r="AR68" s="1">
        <f t="shared" si="4"/>
        <v>0</v>
      </c>
      <c r="AS68" s="1"/>
      <c r="AT68" s="1"/>
      <c r="AU68" s="1">
        <f t="shared" si="32"/>
        <v>72409</v>
      </c>
      <c r="AV68" s="1">
        <f>71944+465</f>
        <v>72409</v>
      </c>
      <c r="AW68" s="75"/>
      <c r="AX68" s="75"/>
      <c r="AY68" s="61"/>
      <c r="AZ68" s="1"/>
      <c r="BA68" s="1"/>
      <c r="BB68" s="62">
        <v>21020</v>
      </c>
      <c r="BC68" s="62">
        <f t="shared" si="6"/>
        <v>0</v>
      </c>
      <c r="BD68" s="62"/>
      <c r="BE68" s="62"/>
      <c r="BF68" s="1"/>
      <c r="BG68" s="1"/>
      <c r="BH68" s="1">
        <f t="shared" si="7"/>
        <v>0</v>
      </c>
      <c r="BI68" s="1"/>
      <c r="BJ68" s="1">
        <v>0</v>
      </c>
      <c r="BK68" s="1"/>
      <c r="BL68" s="1"/>
      <c r="BM68" s="1"/>
      <c r="BN68" s="1"/>
      <c r="BO68" s="1"/>
      <c r="BP68" s="1"/>
      <c r="BQ68" s="1"/>
      <c r="BR68" s="1">
        <v>0</v>
      </c>
      <c r="BS68" s="1"/>
      <c r="BT68" s="1"/>
      <c r="BU68" s="1"/>
      <c r="BV68" s="1"/>
      <c r="BW68" s="1"/>
      <c r="BX68" s="1"/>
      <c r="BY68" s="1">
        <v>50000</v>
      </c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75"/>
      <c r="CK68" s="75"/>
      <c r="CL68" s="1">
        <f t="shared" si="23"/>
        <v>862438</v>
      </c>
    </row>
    <row r="69" spans="1:90" ht="62.25" customHeight="1" x14ac:dyDescent="0.95">
      <c r="A69" s="2" t="s">
        <v>84</v>
      </c>
      <c r="B69" s="95" t="s">
        <v>155</v>
      </c>
      <c r="C69" s="95"/>
      <c r="D69" s="44"/>
      <c r="E69" s="44"/>
      <c r="F69" s="44"/>
      <c r="G69" s="44"/>
      <c r="H69" s="44"/>
      <c r="I69" s="44"/>
      <c r="J69" s="44"/>
      <c r="K69" s="1">
        <v>16800</v>
      </c>
      <c r="L69" s="44"/>
      <c r="M69" s="45"/>
      <c r="N69" s="44"/>
      <c r="O69" s="44"/>
      <c r="P69" s="44"/>
      <c r="Q69" s="44"/>
      <c r="R69" s="62">
        <v>600000</v>
      </c>
      <c r="S69" s="62"/>
      <c r="T69" s="44"/>
      <c r="U69" s="44"/>
      <c r="V69" s="44"/>
      <c r="W69" s="1">
        <f t="shared" si="22"/>
        <v>616800</v>
      </c>
      <c r="X69" s="1"/>
      <c r="Y69" s="1">
        <v>7039015</v>
      </c>
      <c r="Z69" s="1"/>
      <c r="AA69" s="76"/>
      <c r="AB69" s="76"/>
      <c r="AC69" s="75"/>
      <c r="AD69" s="75"/>
      <c r="AE69" s="75"/>
      <c r="AF69" s="75"/>
      <c r="AG69" s="75"/>
      <c r="AH69" s="1">
        <f t="shared" si="31"/>
        <v>730806</v>
      </c>
      <c r="AI69" s="1">
        <v>730806</v>
      </c>
      <c r="AJ69" s="1"/>
      <c r="AK69" s="1"/>
      <c r="AL69" s="1">
        <f t="shared" si="3"/>
        <v>216600</v>
      </c>
      <c r="AM69" s="26"/>
      <c r="AN69" s="26"/>
      <c r="AO69" s="26"/>
      <c r="AP69" s="26"/>
      <c r="AQ69" s="1">
        <v>216600</v>
      </c>
      <c r="AR69" s="1">
        <f t="shared" si="4"/>
        <v>424000</v>
      </c>
      <c r="AS69" s="1">
        <f>285880+14120</f>
        <v>300000</v>
      </c>
      <c r="AT69" s="1">
        <f>151460-27460</f>
        <v>124000</v>
      </c>
      <c r="AU69" s="1">
        <f t="shared" si="32"/>
        <v>525123</v>
      </c>
      <c r="AV69" s="1">
        <f>521800+3323</f>
        <v>525123</v>
      </c>
      <c r="AW69" s="75"/>
      <c r="AX69" s="75"/>
      <c r="AY69" s="61"/>
      <c r="AZ69" s="1"/>
      <c r="BA69" s="1"/>
      <c r="BB69" s="62">
        <v>714680</v>
      </c>
      <c r="BC69" s="62">
        <f t="shared" si="6"/>
        <v>0</v>
      </c>
      <c r="BD69" s="62"/>
      <c r="BE69" s="62"/>
      <c r="BF69" s="1"/>
      <c r="BG69" s="1"/>
      <c r="BH69" s="1">
        <f t="shared" si="7"/>
        <v>0</v>
      </c>
      <c r="BI69" s="1"/>
      <c r="BJ69" s="1">
        <v>0</v>
      </c>
      <c r="BK69" s="1"/>
      <c r="BL69" s="1"/>
      <c r="BM69" s="1"/>
      <c r="BN69" s="1"/>
      <c r="BO69" s="1"/>
      <c r="BP69" s="1"/>
      <c r="BQ69" s="1"/>
      <c r="BR69" s="1">
        <v>0</v>
      </c>
      <c r="BS69" s="1"/>
      <c r="BT69" s="1"/>
      <c r="BU69" s="1"/>
      <c r="BV69" s="1"/>
      <c r="BW69" s="1"/>
      <c r="BX69" s="1"/>
      <c r="BY69" s="1">
        <f>500000-30000</f>
        <v>470000</v>
      </c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75"/>
      <c r="CK69" s="75"/>
      <c r="CL69" s="1">
        <f t="shared" si="23"/>
        <v>10120224</v>
      </c>
    </row>
    <row r="70" spans="1:90" ht="62.25" customHeight="1" x14ac:dyDescent="0.95">
      <c r="A70" s="2" t="s">
        <v>54</v>
      </c>
      <c r="B70" s="95" t="s">
        <v>156</v>
      </c>
      <c r="C70" s="95"/>
      <c r="D70" s="44"/>
      <c r="E70" s="44"/>
      <c r="F70" s="44"/>
      <c r="G70" s="44"/>
      <c r="H70" s="44"/>
      <c r="I70" s="44"/>
      <c r="J70" s="44"/>
      <c r="K70" s="1">
        <v>3200</v>
      </c>
      <c r="L70" s="44"/>
      <c r="M70" s="45"/>
      <c r="N70" s="44"/>
      <c r="O70" s="44"/>
      <c r="P70" s="44"/>
      <c r="Q70" s="44"/>
      <c r="R70" s="44"/>
      <c r="S70" s="62"/>
      <c r="T70" s="44"/>
      <c r="U70" s="44"/>
      <c r="V70" s="44"/>
      <c r="W70" s="1">
        <f t="shared" si="22"/>
        <v>3200</v>
      </c>
      <c r="X70" s="1"/>
      <c r="Y70" s="1">
        <v>950552</v>
      </c>
      <c r="Z70" s="1"/>
      <c r="AA70" s="76"/>
      <c r="AB70" s="76"/>
      <c r="AC70" s="75"/>
      <c r="AD70" s="75"/>
      <c r="AE70" s="75"/>
      <c r="AF70" s="75"/>
      <c r="AG70" s="75"/>
      <c r="AH70" s="1">
        <f t="shared" si="31"/>
        <v>0</v>
      </c>
      <c r="AI70" s="1"/>
      <c r="AJ70" s="1"/>
      <c r="AK70" s="1"/>
      <c r="AL70" s="1">
        <f t="shared" si="3"/>
        <v>654000</v>
      </c>
      <c r="AM70" s="26"/>
      <c r="AN70" s="26"/>
      <c r="AO70" s="26"/>
      <c r="AP70" s="26"/>
      <c r="AQ70" s="1">
        <v>654000</v>
      </c>
      <c r="AR70" s="1">
        <f t="shared" si="4"/>
        <v>21200</v>
      </c>
      <c r="AS70" s="1">
        <f>14294+706</f>
        <v>15000</v>
      </c>
      <c r="AT70" s="1">
        <f>7573-1373</f>
        <v>6200</v>
      </c>
      <c r="AU70" s="1">
        <f t="shared" si="32"/>
        <v>134082</v>
      </c>
      <c r="AV70" s="1">
        <f>133211+871</f>
        <v>134082</v>
      </c>
      <c r="AW70" s="75"/>
      <c r="AX70" s="75"/>
      <c r="AY70" s="61"/>
      <c r="AZ70" s="1"/>
      <c r="BA70" s="1"/>
      <c r="BB70" s="62">
        <v>84080</v>
      </c>
      <c r="BC70" s="62">
        <f t="shared" si="6"/>
        <v>0</v>
      </c>
      <c r="BD70" s="62"/>
      <c r="BE70" s="62"/>
      <c r="BF70" s="1"/>
      <c r="BG70" s="1"/>
      <c r="BH70" s="1">
        <f t="shared" si="7"/>
        <v>0</v>
      </c>
      <c r="BI70" s="1"/>
      <c r="BJ70" s="1">
        <v>0</v>
      </c>
      <c r="BK70" s="1"/>
      <c r="BL70" s="1"/>
      <c r="BM70" s="1"/>
      <c r="BN70" s="1"/>
      <c r="BO70" s="1"/>
      <c r="BP70" s="1"/>
      <c r="BQ70" s="1"/>
      <c r="BR70" s="1">
        <v>0</v>
      </c>
      <c r="BS70" s="1"/>
      <c r="BT70" s="1"/>
      <c r="BU70" s="1"/>
      <c r="BV70" s="1"/>
      <c r="BW70" s="1"/>
      <c r="BX70" s="1"/>
      <c r="BY70" s="1">
        <v>100000</v>
      </c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75"/>
      <c r="CK70" s="75"/>
      <c r="CL70" s="1">
        <f t="shared" si="23"/>
        <v>1943914</v>
      </c>
    </row>
    <row r="71" spans="1:90" ht="74.25" customHeight="1" x14ac:dyDescent="0.95">
      <c r="A71" s="2" t="s">
        <v>82</v>
      </c>
      <c r="B71" s="95" t="s">
        <v>157</v>
      </c>
      <c r="C71" s="95"/>
      <c r="D71" s="44"/>
      <c r="E71" s="44"/>
      <c r="F71" s="44"/>
      <c r="G71" s="44"/>
      <c r="H71" s="44"/>
      <c r="I71" s="44"/>
      <c r="J71" s="44"/>
      <c r="K71" s="28">
        <v>9900</v>
      </c>
      <c r="L71" s="44"/>
      <c r="M71" s="45"/>
      <c r="N71" s="44"/>
      <c r="O71" s="44"/>
      <c r="P71" s="44"/>
      <c r="Q71" s="44"/>
      <c r="R71" s="44"/>
      <c r="S71" s="62"/>
      <c r="T71" s="44"/>
      <c r="U71" s="44"/>
      <c r="V71" s="44"/>
      <c r="W71" s="1">
        <f t="shared" si="22"/>
        <v>9900</v>
      </c>
      <c r="X71" s="1"/>
      <c r="Y71" s="1">
        <v>4405263</v>
      </c>
      <c r="Z71" s="1"/>
      <c r="AA71" s="76"/>
      <c r="AB71" s="76"/>
      <c r="AC71" s="75"/>
      <c r="AD71" s="75"/>
      <c r="AE71" s="75"/>
      <c r="AF71" s="75"/>
      <c r="AG71" s="75"/>
      <c r="AH71" s="1">
        <f t="shared" si="31"/>
        <v>0</v>
      </c>
      <c r="AI71" s="1"/>
      <c r="AJ71" s="1"/>
      <c r="AK71" s="1"/>
      <c r="AL71" s="1">
        <f t="shared" si="3"/>
        <v>0</v>
      </c>
      <c r="AM71" s="26"/>
      <c r="AN71" s="26"/>
      <c r="AO71" s="26"/>
      <c r="AP71" s="26"/>
      <c r="AQ71" s="1"/>
      <c r="AR71" s="1">
        <f t="shared" si="4"/>
        <v>0</v>
      </c>
      <c r="AS71" s="1"/>
      <c r="AT71" s="1"/>
      <c r="AU71" s="1">
        <f t="shared" si="32"/>
        <v>259757</v>
      </c>
      <c r="AV71" s="1">
        <f>258136+1621</f>
        <v>259757</v>
      </c>
      <c r="AW71" s="75"/>
      <c r="AX71" s="75"/>
      <c r="AY71" s="61"/>
      <c r="AZ71" s="1"/>
      <c r="BA71" s="1"/>
      <c r="BB71" s="62">
        <v>147140</v>
      </c>
      <c r="BC71" s="62">
        <f t="shared" si="6"/>
        <v>0</v>
      </c>
      <c r="BD71" s="62"/>
      <c r="BE71" s="62"/>
      <c r="BF71" s="1">
        <v>109457</v>
      </c>
      <c r="BG71" s="1">
        <v>109457</v>
      </c>
      <c r="BH71" s="1">
        <f t="shared" si="7"/>
        <v>670352</v>
      </c>
      <c r="BI71" s="1">
        <v>338952</v>
      </c>
      <c r="BJ71" s="1">
        <v>331400</v>
      </c>
      <c r="BK71" s="1"/>
      <c r="BL71" s="1"/>
      <c r="BM71" s="1"/>
      <c r="BN71" s="1"/>
      <c r="BO71" s="1"/>
      <c r="BP71" s="1"/>
      <c r="BQ71" s="1"/>
      <c r="BR71" s="1">
        <v>0</v>
      </c>
      <c r="BS71" s="1"/>
      <c r="BT71" s="1"/>
      <c r="BU71" s="1"/>
      <c r="BV71" s="1"/>
      <c r="BW71" s="1"/>
      <c r="BX71" s="1"/>
      <c r="BY71" s="1">
        <v>80000</v>
      </c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75"/>
      <c r="CK71" s="75"/>
      <c r="CL71" s="1">
        <f t="shared" si="23"/>
        <v>5671969</v>
      </c>
    </row>
    <row r="72" spans="1:90" ht="74.25" customHeight="1" x14ac:dyDescent="0.95">
      <c r="A72" s="2" t="s">
        <v>79</v>
      </c>
      <c r="B72" s="95" t="s">
        <v>158</v>
      </c>
      <c r="C72" s="95"/>
      <c r="D72" s="44"/>
      <c r="E72" s="44"/>
      <c r="F72" s="44"/>
      <c r="G72" s="62"/>
      <c r="H72" s="62">
        <v>60000</v>
      </c>
      <c r="I72" s="44"/>
      <c r="J72" s="44"/>
      <c r="K72" s="28">
        <v>14300</v>
      </c>
      <c r="L72" s="44"/>
      <c r="M72" s="45"/>
      <c r="N72" s="44"/>
      <c r="O72" s="44"/>
      <c r="P72" s="44"/>
      <c r="Q72" s="44"/>
      <c r="R72" s="44"/>
      <c r="S72" s="62">
        <v>200000</v>
      </c>
      <c r="T72" s="44"/>
      <c r="U72" s="44"/>
      <c r="V72" s="44"/>
      <c r="W72" s="1">
        <f t="shared" si="22"/>
        <v>274300</v>
      </c>
      <c r="X72" s="1"/>
      <c r="Y72" s="1">
        <v>6441662</v>
      </c>
      <c r="Z72" s="1"/>
      <c r="AA72" s="76"/>
      <c r="AB72" s="76"/>
      <c r="AC72" s="75"/>
      <c r="AD72" s="75"/>
      <c r="AE72" s="75"/>
      <c r="AF72" s="75"/>
      <c r="AG72" s="75"/>
      <c r="AH72" s="1">
        <f t="shared" si="31"/>
        <v>894809</v>
      </c>
      <c r="AI72" s="1">
        <v>894809</v>
      </c>
      <c r="AJ72" s="1"/>
      <c r="AK72" s="1"/>
      <c r="AL72" s="1">
        <f t="shared" si="3"/>
        <v>903000</v>
      </c>
      <c r="AM72" s="26"/>
      <c r="AN72" s="26"/>
      <c r="AO72" s="26"/>
      <c r="AP72" s="26"/>
      <c r="AQ72" s="1">
        <v>903000</v>
      </c>
      <c r="AR72" s="1">
        <f t="shared" si="4"/>
        <v>275600</v>
      </c>
      <c r="AS72" s="1">
        <f>185822+9178</f>
        <v>195000</v>
      </c>
      <c r="AT72" s="1">
        <f>98449-17849</f>
        <v>80600</v>
      </c>
      <c r="AU72" s="1">
        <f t="shared" si="32"/>
        <v>480342</v>
      </c>
      <c r="AV72" s="1">
        <f>477294+3048</f>
        <v>480342</v>
      </c>
      <c r="AW72" s="75"/>
      <c r="AX72" s="75"/>
      <c r="AY72" s="61"/>
      <c r="AZ72" s="1"/>
      <c r="BA72" s="1"/>
      <c r="BB72" s="62">
        <v>441420</v>
      </c>
      <c r="BC72" s="62">
        <f t="shared" si="6"/>
        <v>0</v>
      </c>
      <c r="BD72" s="62"/>
      <c r="BE72" s="62"/>
      <c r="BF72" s="1">
        <v>161028</v>
      </c>
      <c r="BG72" s="1">
        <v>161028</v>
      </c>
      <c r="BH72" s="1">
        <f t="shared" si="7"/>
        <v>1277850</v>
      </c>
      <c r="BI72" s="1">
        <v>498650</v>
      </c>
      <c r="BJ72" s="1">
        <v>779200</v>
      </c>
      <c r="BK72" s="1"/>
      <c r="BL72" s="1"/>
      <c r="BM72" s="1"/>
      <c r="BN72" s="1"/>
      <c r="BO72" s="1"/>
      <c r="BP72" s="1"/>
      <c r="BQ72" s="1"/>
      <c r="BR72" s="1">
        <v>0</v>
      </c>
      <c r="BS72" s="1"/>
      <c r="BT72" s="1"/>
      <c r="BU72" s="1"/>
      <c r="BV72" s="1">
        <v>5278</v>
      </c>
      <c r="BW72" s="1"/>
      <c r="BX72" s="1"/>
      <c r="BY72" s="1">
        <f>190000+230000</f>
        <v>420000</v>
      </c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75"/>
      <c r="CK72" s="75"/>
      <c r="CL72" s="1">
        <f t="shared" si="23"/>
        <v>11300989</v>
      </c>
    </row>
    <row r="73" spans="1:90" ht="74.25" customHeight="1" x14ac:dyDescent="0.95">
      <c r="A73" s="2" t="s">
        <v>55</v>
      </c>
      <c r="B73" s="95" t="s">
        <v>159</v>
      </c>
      <c r="C73" s="95"/>
      <c r="D73" s="44"/>
      <c r="E73" s="44"/>
      <c r="F73" s="44"/>
      <c r="G73" s="44"/>
      <c r="H73" s="44"/>
      <c r="I73" s="44"/>
      <c r="J73" s="44"/>
      <c r="K73" s="1">
        <v>14800</v>
      </c>
      <c r="L73" s="44"/>
      <c r="M73" s="45"/>
      <c r="N73" s="44"/>
      <c r="O73" s="44"/>
      <c r="P73" s="44"/>
      <c r="Q73" s="44"/>
      <c r="R73" s="44"/>
      <c r="S73" s="62">
        <v>200000</v>
      </c>
      <c r="T73" s="44"/>
      <c r="U73" s="44"/>
      <c r="V73" s="44"/>
      <c r="W73" s="1">
        <f t="shared" si="22"/>
        <v>214800</v>
      </c>
      <c r="X73" s="1"/>
      <c r="Y73" s="1">
        <v>5720720</v>
      </c>
      <c r="Z73" s="1"/>
      <c r="AA73" s="76"/>
      <c r="AB73" s="76"/>
      <c r="AC73" s="75"/>
      <c r="AD73" s="75"/>
      <c r="AE73" s="75"/>
      <c r="AF73" s="75"/>
      <c r="AG73" s="75"/>
      <c r="AH73" s="1">
        <f t="shared" si="31"/>
        <v>1354313</v>
      </c>
      <c r="AI73" s="1">
        <v>1354313</v>
      </c>
      <c r="AJ73" s="1"/>
      <c r="AK73" s="1"/>
      <c r="AL73" s="1">
        <f t="shared" si="3"/>
        <v>0</v>
      </c>
      <c r="AM73" s="26"/>
      <c r="AN73" s="26"/>
      <c r="AO73" s="26"/>
      <c r="AP73" s="26"/>
      <c r="AQ73" s="1"/>
      <c r="AR73" s="1">
        <f t="shared" si="4"/>
        <v>440214</v>
      </c>
      <c r="AS73" s="1">
        <f>292966+17048</f>
        <v>310014</v>
      </c>
      <c r="AT73" s="1">
        <f>154577-24377</f>
        <v>130200</v>
      </c>
      <c r="AU73" s="1">
        <f t="shared" si="32"/>
        <v>405552</v>
      </c>
      <c r="AV73" s="1">
        <f>402994+2558</f>
        <v>405552</v>
      </c>
      <c r="AW73" s="75"/>
      <c r="AX73" s="75"/>
      <c r="AY73" s="61"/>
      <c r="AZ73" s="1"/>
      <c r="BA73" s="1"/>
      <c r="BB73" s="62">
        <v>399380</v>
      </c>
      <c r="BC73" s="62">
        <f t="shared" si="6"/>
        <v>0</v>
      </c>
      <c r="BD73" s="62"/>
      <c r="BE73" s="62"/>
      <c r="BF73" s="1">
        <v>198917</v>
      </c>
      <c r="BG73" s="1">
        <v>198917</v>
      </c>
      <c r="BH73" s="1">
        <f t="shared" si="7"/>
        <v>1130880</v>
      </c>
      <c r="BI73" s="1">
        <v>615980</v>
      </c>
      <c r="BJ73" s="1">
        <v>514900</v>
      </c>
      <c r="BK73" s="1"/>
      <c r="BL73" s="1"/>
      <c r="BM73" s="1"/>
      <c r="BN73" s="1"/>
      <c r="BO73" s="1"/>
      <c r="BP73" s="1"/>
      <c r="BQ73" s="1"/>
      <c r="BR73" s="1">
        <v>0</v>
      </c>
      <c r="BS73" s="1"/>
      <c r="BT73" s="1"/>
      <c r="BU73" s="1"/>
      <c r="BV73" s="1">
        <v>16467</v>
      </c>
      <c r="BW73" s="1"/>
      <c r="BX73" s="1"/>
      <c r="BY73" s="1">
        <v>158000</v>
      </c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75"/>
      <c r="CK73" s="75"/>
      <c r="CL73" s="1">
        <f t="shared" si="23"/>
        <v>9824443</v>
      </c>
    </row>
    <row r="74" spans="1:90" ht="74.25" customHeight="1" x14ac:dyDescent="0.95">
      <c r="A74" s="2" t="s">
        <v>206</v>
      </c>
      <c r="B74" s="48" t="s">
        <v>197</v>
      </c>
      <c r="C74" s="68"/>
      <c r="D74" s="44"/>
      <c r="E74" s="44"/>
      <c r="F74" s="44"/>
      <c r="G74" s="44"/>
      <c r="H74" s="44"/>
      <c r="I74" s="44"/>
      <c r="J74" s="44"/>
      <c r="K74" s="1">
        <v>2400</v>
      </c>
      <c r="L74" s="44"/>
      <c r="M74" s="45"/>
      <c r="N74" s="44"/>
      <c r="O74" s="44"/>
      <c r="P74" s="44"/>
      <c r="Q74" s="44"/>
      <c r="R74" s="44"/>
      <c r="S74" s="62"/>
      <c r="T74" s="44"/>
      <c r="U74" s="44"/>
      <c r="V74" s="44"/>
      <c r="W74" s="1">
        <f t="shared" si="22"/>
        <v>2400</v>
      </c>
      <c r="X74" s="1"/>
      <c r="Y74" s="1"/>
      <c r="Z74" s="1"/>
      <c r="AA74" s="76"/>
      <c r="AB74" s="76"/>
      <c r="AC74" s="75"/>
      <c r="AD74" s="75"/>
      <c r="AE74" s="75"/>
      <c r="AF74" s="75"/>
      <c r="AG74" s="75"/>
      <c r="AH74" s="1">
        <f t="shared" si="31"/>
        <v>0</v>
      </c>
      <c r="AI74" s="1"/>
      <c r="AJ74" s="1"/>
      <c r="AK74" s="1"/>
      <c r="AL74" s="1">
        <f t="shared" si="3"/>
        <v>0</v>
      </c>
      <c r="AM74" s="26"/>
      <c r="AN74" s="26"/>
      <c r="AO74" s="26"/>
      <c r="AP74" s="26"/>
      <c r="AQ74" s="1"/>
      <c r="AR74" s="1">
        <f t="shared" si="4"/>
        <v>0</v>
      </c>
      <c r="AS74" s="1"/>
      <c r="AT74" s="1"/>
      <c r="AU74" s="1">
        <f t="shared" si="32"/>
        <v>127249</v>
      </c>
      <c r="AV74" s="1">
        <f>126416+833</f>
        <v>127249</v>
      </c>
      <c r="AW74" s="75"/>
      <c r="AX74" s="75"/>
      <c r="AY74" s="61"/>
      <c r="AZ74" s="1"/>
      <c r="BA74" s="1"/>
      <c r="BB74" s="62">
        <v>168160</v>
      </c>
      <c r="BC74" s="62">
        <f t="shared" si="6"/>
        <v>0</v>
      </c>
      <c r="BD74" s="62"/>
      <c r="BE74" s="62"/>
      <c r="BF74" s="1"/>
      <c r="BG74" s="1"/>
      <c r="BH74" s="1">
        <f t="shared" si="7"/>
        <v>0</v>
      </c>
      <c r="BI74" s="1"/>
      <c r="BJ74" s="1">
        <v>0</v>
      </c>
      <c r="BK74" s="1"/>
      <c r="BL74" s="1"/>
      <c r="BM74" s="1"/>
      <c r="BN74" s="1"/>
      <c r="BO74" s="1"/>
      <c r="BP74" s="1"/>
      <c r="BQ74" s="1"/>
      <c r="BR74" s="1">
        <v>0</v>
      </c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75"/>
      <c r="CK74" s="75"/>
      <c r="CL74" s="1">
        <f t="shared" si="23"/>
        <v>295409</v>
      </c>
    </row>
    <row r="75" spans="1:90" ht="74.25" customHeight="1" x14ac:dyDescent="0.95">
      <c r="A75" s="2" t="s">
        <v>56</v>
      </c>
      <c r="B75" s="95" t="s">
        <v>160</v>
      </c>
      <c r="C75" s="95"/>
      <c r="D75" s="44"/>
      <c r="E75" s="44"/>
      <c r="F75" s="44"/>
      <c r="G75" s="44"/>
      <c r="H75" s="44"/>
      <c r="I75" s="44"/>
      <c r="J75" s="44"/>
      <c r="K75" s="47">
        <v>3900</v>
      </c>
      <c r="L75" s="44"/>
      <c r="M75" s="45"/>
      <c r="N75" s="44"/>
      <c r="O75" s="44"/>
      <c r="P75" s="44"/>
      <c r="Q75" s="44"/>
      <c r="R75" s="44"/>
      <c r="S75" s="62"/>
      <c r="T75" s="44"/>
      <c r="U75" s="44"/>
      <c r="V75" s="44"/>
      <c r="W75" s="1">
        <f t="shared" si="22"/>
        <v>3900</v>
      </c>
      <c r="X75" s="1"/>
      <c r="Y75" s="1">
        <v>910245</v>
      </c>
      <c r="Z75" s="1"/>
      <c r="AA75" s="76"/>
      <c r="AB75" s="76"/>
      <c r="AC75" s="75"/>
      <c r="AD75" s="75"/>
      <c r="AE75" s="75"/>
      <c r="AF75" s="75"/>
      <c r="AG75" s="75"/>
      <c r="AH75" s="1">
        <f t="shared" si="31"/>
        <v>0</v>
      </c>
      <c r="AI75" s="1"/>
      <c r="AJ75" s="1"/>
      <c r="AK75" s="1"/>
      <c r="AL75" s="1">
        <f t="shared" si="3"/>
        <v>0</v>
      </c>
      <c r="AM75" s="26"/>
      <c r="AN75" s="26"/>
      <c r="AO75" s="26"/>
      <c r="AP75" s="26"/>
      <c r="AQ75" s="1"/>
      <c r="AR75" s="1">
        <f t="shared" si="4"/>
        <v>0</v>
      </c>
      <c r="AS75" s="1"/>
      <c r="AT75" s="1"/>
      <c r="AU75" s="1">
        <f t="shared" si="32"/>
        <v>193802</v>
      </c>
      <c r="AV75" s="1">
        <f>192536+1266</f>
        <v>193802</v>
      </c>
      <c r="AW75" s="75"/>
      <c r="AX75" s="75"/>
      <c r="AY75" s="61"/>
      <c r="AZ75" s="1"/>
      <c r="BA75" s="1"/>
      <c r="BB75" s="62">
        <v>168160</v>
      </c>
      <c r="BC75" s="62">
        <f t="shared" si="6"/>
        <v>0</v>
      </c>
      <c r="BD75" s="62"/>
      <c r="BE75" s="62"/>
      <c r="BF75" s="1"/>
      <c r="BG75" s="1"/>
      <c r="BH75" s="1">
        <f t="shared" si="7"/>
        <v>0</v>
      </c>
      <c r="BI75" s="1"/>
      <c r="BJ75" s="1">
        <v>0</v>
      </c>
      <c r="BK75" s="1"/>
      <c r="BL75" s="1"/>
      <c r="BM75" s="1"/>
      <c r="BN75" s="1"/>
      <c r="BO75" s="1"/>
      <c r="BP75" s="1"/>
      <c r="BQ75" s="1"/>
      <c r="BR75" s="1">
        <v>0</v>
      </c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75"/>
      <c r="CK75" s="75"/>
      <c r="CL75" s="1">
        <f t="shared" si="23"/>
        <v>1272207</v>
      </c>
    </row>
    <row r="76" spans="1:90" ht="74.25" customHeight="1" x14ac:dyDescent="0.95">
      <c r="A76" s="2" t="s">
        <v>57</v>
      </c>
      <c r="B76" s="95" t="s">
        <v>161</v>
      </c>
      <c r="C76" s="95"/>
      <c r="D76" s="44"/>
      <c r="E76" s="44"/>
      <c r="F76" s="44"/>
      <c r="G76" s="44"/>
      <c r="H76" s="44"/>
      <c r="I76" s="44"/>
      <c r="J76" s="44"/>
      <c r="K76" s="1">
        <v>4700</v>
      </c>
      <c r="L76" s="44"/>
      <c r="M76" s="45"/>
      <c r="N76" s="44"/>
      <c r="O76" s="44"/>
      <c r="P76" s="44"/>
      <c r="Q76" s="44"/>
      <c r="R76" s="44"/>
      <c r="S76" s="62"/>
      <c r="T76" s="44"/>
      <c r="U76" s="44"/>
      <c r="V76" s="44"/>
      <c r="W76" s="1">
        <f t="shared" ref="W76:W107" si="33">SUM(D76:T76)+V76+U76</f>
        <v>4700</v>
      </c>
      <c r="X76" s="1"/>
      <c r="Y76" s="1"/>
      <c r="Z76" s="1"/>
      <c r="AA76" s="76"/>
      <c r="AB76" s="76"/>
      <c r="AC76" s="75"/>
      <c r="AD76" s="75"/>
      <c r="AE76" s="75"/>
      <c r="AF76" s="75"/>
      <c r="AG76" s="75"/>
      <c r="AH76" s="1">
        <f t="shared" si="31"/>
        <v>0</v>
      </c>
      <c r="AI76" s="1"/>
      <c r="AJ76" s="1"/>
      <c r="AK76" s="1"/>
      <c r="AL76" s="1">
        <f t="shared" si="3"/>
        <v>0</v>
      </c>
      <c r="AM76" s="26"/>
      <c r="AN76" s="26"/>
      <c r="AO76" s="26"/>
      <c r="AP76" s="26"/>
      <c r="AQ76" s="1"/>
      <c r="AR76" s="1">
        <f t="shared" si="4"/>
        <v>0</v>
      </c>
      <c r="AS76" s="1"/>
      <c r="AT76" s="1"/>
      <c r="AU76" s="1">
        <f t="shared" si="32"/>
        <v>290794</v>
      </c>
      <c r="AV76" s="1">
        <f>288862+1932</f>
        <v>290794</v>
      </c>
      <c r="AW76" s="75"/>
      <c r="AX76" s="75"/>
      <c r="AY76" s="61"/>
      <c r="AZ76" s="1"/>
      <c r="BA76" s="1"/>
      <c r="BB76" s="62">
        <v>315300</v>
      </c>
      <c r="BC76" s="62">
        <f t="shared" si="6"/>
        <v>0</v>
      </c>
      <c r="BD76" s="62"/>
      <c r="BE76" s="62"/>
      <c r="BF76" s="1"/>
      <c r="BG76" s="1"/>
      <c r="BH76" s="1">
        <f t="shared" si="7"/>
        <v>0</v>
      </c>
      <c r="BI76" s="1"/>
      <c r="BJ76" s="1">
        <v>0</v>
      </c>
      <c r="BK76" s="1"/>
      <c r="BL76" s="1"/>
      <c r="BM76" s="1"/>
      <c r="BN76" s="1"/>
      <c r="BO76" s="1"/>
      <c r="BP76" s="1"/>
      <c r="BQ76" s="1"/>
      <c r="BR76" s="1">
        <v>0</v>
      </c>
      <c r="BS76" s="1"/>
      <c r="BT76" s="1"/>
      <c r="BU76" s="1"/>
      <c r="BV76" s="1"/>
      <c r="BW76" s="1"/>
      <c r="BX76" s="1"/>
      <c r="BY76" s="1">
        <f>185000+100000</f>
        <v>285000</v>
      </c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75"/>
      <c r="CK76" s="75"/>
      <c r="CL76" s="1">
        <f t="shared" ref="CL76:CL107" si="34">SUM(X76:CK76)-AI76-AJ76-AK76-AM76-AN76-AO76-AP76-AQ76-AS76-AT76-AV76-AW76-AY76-BG76-BI76-BJ76-BM76-BC76</f>
        <v>891094</v>
      </c>
    </row>
    <row r="77" spans="1:90" ht="74.25" customHeight="1" x14ac:dyDescent="0.95">
      <c r="A77" s="2" t="s">
        <v>58</v>
      </c>
      <c r="B77" s="95" t="s">
        <v>162</v>
      </c>
      <c r="C77" s="95"/>
      <c r="D77" s="44"/>
      <c r="E77" s="44"/>
      <c r="F77" s="44"/>
      <c r="G77" s="44"/>
      <c r="H77" s="44"/>
      <c r="I77" s="44"/>
      <c r="J77" s="44"/>
      <c r="K77" s="47">
        <v>4200</v>
      </c>
      <c r="L77" s="44"/>
      <c r="M77" s="45"/>
      <c r="N77" s="44"/>
      <c r="O77" s="44"/>
      <c r="P77" s="44"/>
      <c r="Q77" s="44"/>
      <c r="R77" s="44"/>
      <c r="S77" s="62"/>
      <c r="T77" s="44"/>
      <c r="U77" s="44"/>
      <c r="V77" s="44"/>
      <c r="W77" s="1">
        <f t="shared" si="33"/>
        <v>4200</v>
      </c>
      <c r="X77" s="1"/>
      <c r="Y77" s="1">
        <v>989394</v>
      </c>
      <c r="Z77" s="1"/>
      <c r="AA77" s="76"/>
      <c r="AB77" s="76"/>
      <c r="AC77" s="75"/>
      <c r="AD77" s="75"/>
      <c r="AE77" s="75"/>
      <c r="AF77" s="75"/>
      <c r="AG77" s="75"/>
      <c r="AH77" s="1">
        <f t="shared" si="31"/>
        <v>0</v>
      </c>
      <c r="AI77" s="1"/>
      <c r="AJ77" s="1"/>
      <c r="AK77" s="1"/>
      <c r="AL77" s="1">
        <f t="shared" ref="AL77:AL108" si="35">AM77+AN77+AO77+AP77+AQ77</f>
        <v>0</v>
      </c>
      <c r="AM77" s="26"/>
      <c r="AN77" s="26"/>
      <c r="AO77" s="26"/>
      <c r="AP77" s="26"/>
      <c r="AQ77" s="1"/>
      <c r="AR77" s="1">
        <f t="shared" ref="AR77:AR108" si="36">AS77+AT77</f>
        <v>82307</v>
      </c>
      <c r="AS77" s="1">
        <f>53572+3935</f>
        <v>57507</v>
      </c>
      <c r="AT77" s="1">
        <f>28064-3264</f>
        <v>24800</v>
      </c>
      <c r="AU77" s="1">
        <f t="shared" si="32"/>
        <v>134082</v>
      </c>
      <c r="AV77" s="1">
        <f>133211+871</f>
        <v>134082</v>
      </c>
      <c r="AW77" s="75"/>
      <c r="AX77" s="75"/>
      <c r="AY77" s="61"/>
      <c r="AZ77" s="1"/>
      <c r="BA77" s="1"/>
      <c r="BB77" s="62">
        <v>126120</v>
      </c>
      <c r="BC77" s="62">
        <f t="shared" ref="BC77:BC113" si="37">BD77+BE77</f>
        <v>0</v>
      </c>
      <c r="BD77" s="62"/>
      <c r="BE77" s="62"/>
      <c r="BF77" s="1"/>
      <c r="BG77" s="1"/>
      <c r="BH77" s="1">
        <f t="shared" ref="BH77:BH114" si="38">BI77+BJ77</f>
        <v>0</v>
      </c>
      <c r="BI77" s="1"/>
      <c r="BJ77" s="1">
        <v>0</v>
      </c>
      <c r="BK77" s="1"/>
      <c r="BL77" s="1"/>
      <c r="BM77" s="1"/>
      <c r="BN77" s="1"/>
      <c r="BO77" s="1"/>
      <c r="BP77" s="1"/>
      <c r="BQ77" s="1"/>
      <c r="BR77" s="1">
        <v>0</v>
      </c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75"/>
      <c r="CK77" s="75"/>
      <c r="CL77" s="1">
        <f t="shared" si="34"/>
        <v>1331903</v>
      </c>
    </row>
    <row r="78" spans="1:90" ht="65.25" customHeight="1" x14ac:dyDescent="0.95">
      <c r="A78" s="2" t="s">
        <v>59</v>
      </c>
      <c r="B78" s="95" t="s">
        <v>163</v>
      </c>
      <c r="C78" s="95"/>
      <c r="D78" s="44"/>
      <c r="E78" s="44"/>
      <c r="F78" s="44"/>
      <c r="G78" s="44"/>
      <c r="H78" s="44"/>
      <c r="I78" s="44"/>
      <c r="J78" s="44"/>
      <c r="K78" s="1">
        <v>2600</v>
      </c>
      <c r="L78" s="44"/>
      <c r="M78" s="45"/>
      <c r="N78" s="44"/>
      <c r="O78" s="44"/>
      <c r="P78" s="44"/>
      <c r="Q78" s="44"/>
      <c r="R78" s="44"/>
      <c r="S78" s="62"/>
      <c r="T78" s="44"/>
      <c r="U78" s="44"/>
      <c r="V78" s="44"/>
      <c r="W78" s="1">
        <f t="shared" si="33"/>
        <v>2600</v>
      </c>
      <c r="X78" s="1"/>
      <c r="Y78" s="1"/>
      <c r="Z78" s="1"/>
      <c r="AA78" s="76"/>
      <c r="AB78" s="76"/>
      <c r="AC78" s="75"/>
      <c r="AD78" s="75"/>
      <c r="AE78" s="75"/>
      <c r="AF78" s="75"/>
      <c r="AG78" s="75"/>
      <c r="AH78" s="1">
        <f t="shared" si="31"/>
        <v>0</v>
      </c>
      <c r="AI78" s="1"/>
      <c r="AJ78" s="1"/>
      <c r="AK78" s="1"/>
      <c r="AL78" s="1">
        <f t="shared" si="35"/>
        <v>0</v>
      </c>
      <c r="AM78" s="26"/>
      <c r="AN78" s="26"/>
      <c r="AO78" s="26"/>
      <c r="AP78" s="26"/>
      <c r="AQ78" s="1"/>
      <c r="AR78" s="1">
        <f t="shared" si="36"/>
        <v>0</v>
      </c>
      <c r="AS78" s="1"/>
      <c r="AT78" s="1"/>
      <c r="AU78" s="1">
        <f t="shared" si="32"/>
        <v>126273</v>
      </c>
      <c r="AV78" s="1">
        <f>125446+827</f>
        <v>126273</v>
      </c>
      <c r="AW78" s="75"/>
      <c r="AX78" s="75"/>
      <c r="AY78" s="61"/>
      <c r="AZ78" s="1"/>
      <c r="BA78" s="1"/>
      <c r="BB78" s="62">
        <v>126120</v>
      </c>
      <c r="BC78" s="62">
        <f t="shared" si="37"/>
        <v>0</v>
      </c>
      <c r="BD78" s="62"/>
      <c r="BE78" s="62"/>
      <c r="BF78" s="1"/>
      <c r="BG78" s="1"/>
      <c r="BH78" s="1">
        <f t="shared" si="38"/>
        <v>0</v>
      </c>
      <c r="BI78" s="1"/>
      <c r="BJ78" s="1">
        <v>0</v>
      </c>
      <c r="BK78" s="1"/>
      <c r="BL78" s="1"/>
      <c r="BM78" s="1"/>
      <c r="BN78" s="1"/>
      <c r="BO78" s="1"/>
      <c r="BP78" s="1"/>
      <c r="BQ78" s="1"/>
      <c r="BR78" s="1">
        <v>0</v>
      </c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75"/>
      <c r="CK78" s="75"/>
      <c r="CL78" s="1">
        <f t="shared" si="34"/>
        <v>252393</v>
      </c>
    </row>
    <row r="79" spans="1:90" ht="65.25" customHeight="1" x14ac:dyDescent="0.95">
      <c r="A79" s="2" t="s">
        <v>60</v>
      </c>
      <c r="B79" s="95" t="s">
        <v>164</v>
      </c>
      <c r="C79" s="95"/>
      <c r="D79" s="44"/>
      <c r="E79" s="44"/>
      <c r="F79" s="44"/>
      <c r="G79" s="44"/>
      <c r="H79" s="44"/>
      <c r="I79" s="44"/>
      <c r="J79" s="44"/>
      <c r="K79" s="1">
        <v>4000</v>
      </c>
      <c r="L79" s="44"/>
      <c r="M79" s="45"/>
      <c r="N79" s="44"/>
      <c r="O79" s="44"/>
      <c r="P79" s="44"/>
      <c r="Q79" s="44"/>
      <c r="R79" s="44"/>
      <c r="S79" s="62"/>
      <c r="T79" s="44"/>
      <c r="U79" s="44"/>
      <c r="V79" s="44"/>
      <c r="W79" s="1">
        <f t="shared" si="33"/>
        <v>4000</v>
      </c>
      <c r="X79" s="1"/>
      <c r="Y79" s="1">
        <v>785512</v>
      </c>
      <c r="Z79" s="1"/>
      <c r="AA79" s="76"/>
      <c r="AB79" s="76"/>
      <c r="AC79" s="75"/>
      <c r="AD79" s="75"/>
      <c r="AE79" s="75"/>
      <c r="AF79" s="75"/>
      <c r="AG79" s="75"/>
      <c r="AH79" s="1">
        <f t="shared" si="31"/>
        <v>0</v>
      </c>
      <c r="AI79" s="1"/>
      <c r="AJ79" s="1"/>
      <c r="AK79" s="1"/>
      <c r="AL79" s="1">
        <f t="shared" si="35"/>
        <v>0</v>
      </c>
      <c r="AM79" s="26"/>
      <c r="AN79" s="26"/>
      <c r="AO79" s="26"/>
      <c r="AP79" s="26"/>
      <c r="AQ79" s="1"/>
      <c r="AR79" s="1">
        <f t="shared" si="36"/>
        <v>0</v>
      </c>
      <c r="AS79" s="1"/>
      <c r="AT79" s="1"/>
      <c r="AU79" s="1">
        <f t="shared" si="32"/>
        <v>144272</v>
      </c>
      <c r="AV79" s="1">
        <f>143330+942</f>
        <v>144272</v>
      </c>
      <c r="AW79" s="75"/>
      <c r="AX79" s="75"/>
      <c r="AY79" s="61"/>
      <c r="AZ79" s="1"/>
      <c r="BA79" s="1"/>
      <c r="BB79" s="62">
        <v>210200</v>
      </c>
      <c r="BC79" s="62">
        <f t="shared" si="37"/>
        <v>0</v>
      </c>
      <c r="BD79" s="62"/>
      <c r="BE79" s="62"/>
      <c r="BF79" s="1"/>
      <c r="BG79" s="1"/>
      <c r="BH79" s="1">
        <f t="shared" si="38"/>
        <v>0</v>
      </c>
      <c r="BI79" s="1"/>
      <c r="BJ79" s="1">
        <v>0</v>
      </c>
      <c r="BK79" s="1"/>
      <c r="BL79" s="1"/>
      <c r="BM79" s="1"/>
      <c r="BN79" s="1"/>
      <c r="BO79" s="1"/>
      <c r="BP79" s="1"/>
      <c r="BQ79" s="1"/>
      <c r="BR79" s="1">
        <v>0</v>
      </c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75"/>
      <c r="CK79" s="75"/>
      <c r="CL79" s="1">
        <f t="shared" si="34"/>
        <v>1139984</v>
      </c>
    </row>
    <row r="80" spans="1:90" ht="65.25" customHeight="1" x14ac:dyDescent="0.95">
      <c r="A80" s="2" t="s">
        <v>61</v>
      </c>
      <c r="B80" s="95" t="s">
        <v>165</v>
      </c>
      <c r="C80" s="95"/>
      <c r="D80" s="44"/>
      <c r="E80" s="44"/>
      <c r="F80" s="44"/>
      <c r="G80" s="44"/>
      <c r="H80" s="44"/>
      <c r="I80" s="44"/>
      <c r="J80" s="44"/>
      <c r="K80" s="1">
        <v>3000</v>
      </c>
      <c r="L80" s="44"/>
      <c r="M80" s="45"/>
      <c r="N80" s="44"/>
      <c r="O80" s="44"/>
      <c r="P80" s="44"/>
      <c r="Q80" s="44"/>
      <c r="R80" s="44"/>
      <c r="S80" s="62"/>
      <c r="T80" s="44"/>
      <c r="U80" s="44"/>
      <c r="V80" s="44"/>
      <c r="W80" s="1">
        <f t="shared" si="33"/>
        <v>3000</v>
      </c>
      <c r="X80" s="1"/>
      <c r="Y80" s="1">
        <v>1147056</v>
      </c>
      <c r="Z80" s="1"/>
      <c r="AA80" s="76"/>
      <c r="AB80" s="76"/>
      <c r="AC80" s="75"/>
      <c r="AD80" s="75"/>
      <c r="AE80" s="75"/>
      <c r="AF80" s="75"/>
      <c r="AG80" s="75"/>
      <c r="AH80" s="1">
        <f t="shared" si="31"/>
        <v>0</v>
      </c>
      <c r="AI80" s="1"/>
      <c r="AJ80" s="1"/>
      <c r="AK80" s="1"/>
      <c r="AL80" s="1">
        <f t="shared" si="35"/>
        <v>0</v>
      </c>
      <c r="AM80" s="26"/>
      <c r="AN80" s="26"/>
      <c r="AO80" s="26"/>
      <c r="AP80" s="26"/>
      <c r="AQ80" s="1"/>
      <c r="AR80" s="1">
        <f t="shared" si="36"/>
        <v>159628</v>
      </c>
      <c r="AS80" s="1">
        <f>99936+10092</f>
        <v>110028</v>
      </c>
      <c r="AT80" s="1">
        <f>51672-2072</f>
        <v>49600</v>
      </c>
      <c r="AU80" s="1">
        <f t="shared" si="32"/>
        <v>92359</v>
      </c>
      <c r="AV80" s="1">
        <f>91771+588</f>
        <v>92359</v>
      </c>
      <c r="AW80" s="75"/>
      <c r="AX80" s="75"/>
      <c r="AY80" s="61"/>
      <c r="AZ80" s="1"/>
      <c r="BA80" s="1"/>
      <c r="BB80" s="62">
        <v>63060</v>
      </c>
      <c r="BC80" s="62">
        <f t="shared" si="37"/>
        <v>0</v>
      </c>
      <c r="BD80" s="62"/>
      <c r="BE80" s="62"/>
      <c r="BF80" s="1"/>
      <c r="BG80" s="1"/>
      <c r="BH80" s="1">
        <f t="shared" si="38"/>
        <v>0</v>
      </c>
      <c r="BI80" s="1"/>
      <c r="BJ80" s="1">
        <v>0</v>
      </c>
      <c r="BK80" s="1"/>
      <c r="BL80" s="1"/>
      <c r="BM80" s="1"/>
      <c r="BN80" s="1"/>
      <c r="BO80" s="1"/>
      <c r="BP80" s="1"/>
      <c r="BQ80" s="1"/>
      <c r="BR80" s="1">
        <v>0</v>
      </c>
      <c r="BS80" s="1"/>
      <c r="BT80" s="1"/>
      <c r="BU80" s="1"/>
      <c r="BV80" s="1"/>
      <c r="BW80" s="1"/>
      <c r="BX80" s="1"/>
      <c r="BY80" s="1">
        <v>90000</v>
      </c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75"/>
      <c r="CK80" s="75"/>
      <c r="CL80" s="1">
        <f t="shared" si="34"/>
        <v>1552103</v>
      </c>
    </row>
    <row r="81" spans="1:90" ht="141.75" customHeight="1" x14ac:dyDescent="0.95">
      <c r="A81" s="2" t="s">
        <v>69</v>
      </c>
      <c r="B81" s="95" t="s">
        <v>166</v>
      </c>
      <c r="C81" s="95"/>
      <c r="D81" s="44"/>
      <c r="E81" s="44"/>
      <c r="F81" s="44"/>
      <c r="G81" s="44"/>
      <c r="H81" s="44"/>
      <c r="I81" s="44"/>
      <c r="J81" s="44"/>
      <c r="K81" s="1">
        <v>3500</v>
      </c>
      <c r="L81" s="44"/>
      <c r="M81" s="45">
        <v>50000</v>
      </c>
      <c r="N81" s="44"/>
      <c r="O81" s="44"/>
      <c r="P81" s="44"/>
      <c r="Q81" s="44"/>
      <c r="R81" s="44"/>
      <c r="S81" s="62"/>
      <c r="T81" s="44"/>
      <c r="U81" s="44"/>
      <c r="V81" s="44"/>
      <c r="W81" s="1">
        <f t="shared" si="33"/>
        <v>53500</v>
      </c>
      <c r="X81" s="1"/>
      <c r="Y81" s="1">
        <v>1073444</v>
      </c>
      <c r="Z81" s="1"/>
      <c r="AA81" s="76"/>
      <c r="AB81" s="76"/>
      <c r="AC81" s="75"/>
      <c r="AD81" s="75"/>
      <c r="AE81" s="75"/>
      <c r="AF81" s="75"/>
      <c r="AG81" s="75"/>
      <c r="AH81" s="1">
        <f t="shared" si="31"/>
        <v>0</v>
      </c>
      <c r="AI81" s="1"/>
      <c r="AJ81" s="1"/>
      <c r="AK81" s="1"/>
      <c r="AL81" s="1">
        <f t="shared" si="35"/>
        <v>0</v>
      </c>
      <c r="AM81" s="26"/>
      <c r="AN81" s="26"/>
      <c r="AO81" s="26"/>
      <c r="AP81" s="26"/>
      <c r="AQ81" s="1"/>
      <c r="AR81" s="1">
        <f t="shared" si="36"/>
        <v>0</v>
      </c>
      <c r="AS81" s="1"/>
      <c r="AT81" s="1"/>
      <c r="AU81" s="1">
        <f t="shared" si="32"/>
        <v>228145</v>
      </c>
      <c r="AV81" s="1">
        <f>226625+1520</f>
        <v>228145</v>
      </c>
      <c r="AW81" s="75"/>
      <c r="AX81" s="75"/>
      <c r="AY81" s="61"/>
      <c r="AZ81" s="1"/>
      <c r="BA81" s="1"/>
      <c r="BB81" s="62">
        <v>147140</v>
      </c>
      <c r="BC81" s="62">
        <f t="shared" si="37"/>
        <v>0</v>
      </c>
      <c r="BD81" s="62"/>
      <c r="BE81" s="62"/>
      <c r="BF81" s="1"/>
      <c r="BG81" s="1"/>
      <c r="BH81" s="1">
        <f t="shared" si="38"/>
        <v>0</v>
      </c>
      <c r="BI81" s="1"/>
      <c r="BJ81" s="1">
        <v>0</v>
      </c>
      <c r="BK81" s="1"/>
      <c r="BL81" s="1"/>
      <c r="BM81" s="1"/>
      <c r="BN81" s="1"/>
      <c r="BO81" s="1"/>
      <c r="BP81" s="1"/>
      <c r="BQ81" s="1"/>
      <c r="BR81" s="1">
        <v>0</v>
      </c>
      <c r="BS81" s="1"/>
      <c r="BT81" s="1"/>
      <c r="BU81" s="1"/>
      <c r="BV81" s="1"/>
      <c r="BW81" s="1"/>
      <c r="BX81" s="1"/>
      <c r="BY81" s="1">
        <v>105000</v>
      </c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75"/>
      <c r="CK81" s="75"/>
      <c r="CL81" s="1">
        <f t="shared" si="34"/>
        <v>1553729</v>
      </c>
    </row>
    <row r="82" spans="1:90" ht="65.25" customHeight="1" x14ac:dyDescent="0.95">
      <c r="A82" s="2" t="s">
        <v>207</v>
      </c>
      <c r="B82" s="95" t="s">
        <v>167</v>
      </c>
      <c r="C82" s="95"/>
      <c r="D82" s="44"/>
      <c r="E82" s="44"/>
      <c r="F82" s="44"/>
      <c r="G82" s="44"/>
      <c r="H82" s="44"/>
      <c r="I82" s="44"/>
      <c r="J82" s="44"/>
      <c r="K82" s="1">
        <v>17300</v>
      </c>
      <c r="L82" s="44"/>
      <c r="M82" s="45"/>
      <c r="N82" s="44"/>
      <c r="O82" s="44"/>
      <c r="P82" s="44"/>
      <c r="Q82" s="44"/>
      <c r="R82" s="44"/>
      <c r="S82" s="62">
        <v>200000</v>
      </c>
      <c r="T82" s="44"/>
      <c r="U82" s="44"/>
      <c r="V82" s="44"/>
      <c r="W82" s="1">
        <f t="shared" si="33"/>
        <v>217300</v>
      </c>
      <c r="X82" s="1"/>
      <c r="Y82" s="1">
        <v>4560756</v>
      </c>
      <c r="Z82" s="1"/>
      <c r="AA82" s="76"/>
      <c r="AB82" s="76"/>
      <c r="AC82" s="75"/>
      <c r="AD82" s="75"/>
      <c r="AE82" s="75"/>
      <c r="AF82" s="75"/>
      <c r="AG82" s="75"/>
      <c r="AH82" s="1">
        <f t="shared" si="31"/>
        <v>0</v>
      </c>
      <c r="AI82" s="1"/>
      <c r="AJ82" s="1"/>
      <c r="AK82" s="1"/>
      <c r="AL82" s="1">
        <f t="shared" si="35"/>
        <v>1000742.65</v>
      </c>
      <c r="AM82" s="1">
        <v>27242.65</v>
      </c>
      <c r="AN82" s="26"/>
      <c r="AO82" s="26"/>
      <c r="AP82" s="26"/>
      <c r="AQ82" s="1">
        <v>973500</v>
      </c>
      <c r="AR82" s="1">
        <f t="shared" si="36"/>
        <v>106000</v>
      </c>
      <c r="AS82" s="1">
        <f>71470+3530</f>
        <v>75000</v>
      </c>
      <c r="AT82" s="1">
        <f>37865-6865</f>
        <v>31000</v>
      </c>
      <c r="AU82" s="1">
        <f t="shared" si="32"/>
        <v>481436</v>
      </c>
      <c r="AV82" s="1">
        <f>405494+2557+73385</f>
        <v>481436</v>
      </c>
      <c r="AW82" s="75"/>
      <c r="AX82" s="75"/>
      <c r="AY82" s="61"/>
      <c r="AZ82" s="1"/>
      <c r="BA82" s="1"/>
      <c r="BB82" s="62">
        <v>420400</v>
      </c>
      <c r="BC82" s="62">
        <f t="shared" si="37"/>
        <v>0</v>
      </c>
      <c r="BD82" s="62"/>
      <c r="BE82" s="62"/>
      <c r="BF82" s="1"/>
      <c r="BG82" s="1"/>
      <c r="BH82" s="1">
        <f t="shared" si="38"/>
        <v>0</v>
      </c>
      <c r="BI82" s="1"/>
      <c r="BJ82" s="1">
        <v>0</v>
      </c>
      <c r="BK82" s="1"/>
      <c r="BL82" s="1"/>
      <c r="BM82" s="1"/>
      <c r="BN82" s="1"/>
      <c r="BO82" s="1"/>
      <c r="BP82" s="1"/>
      <c r="BQ82" s="1"/>
      <c r="BR82" s="1">
        <v>0</v>
      </c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75"/>
      <c r="CK82" s="75"/>
      <c r="CL82" s="1">
        <f t="shared" si="34"/>
        <v>6569334.6500000004</v>
      </c>
    </row>
    <row r="83" spans="1:90" ht="65.25" customHeight="1" x14ac:dyDescent="0.95">
      <c r="A83" s="2" t="s">
        <v>67</v>
      </c>
      <c r="B83" s="95" t="s">
        <v>168</v>
      </c>
      <c r="C83" s="95"/>
      <c r="D83" s="44"/>
      <c r="E83" s="44"/>
      <c r="F83" s="44"/>
      <c r="G83" s="44"/>
      <c r="H83" s="44"/>
      <c r="I83" s="44"/>
      <c r="J83" s="44"/>
      <c r="K83" s="1">
        <v>15400</v>
      </c>
      <c r="L83" s="44"/>
      <c r="M83" s="45">
        <v>70000</v>
      </c>
      <c r="N83" s="44"/>
      <c r="O83" s="44"/>
      <c r="P83" s="44"/>
      <c r="Q83" s="44"/>
      <c r="R83" s="44"/>
      <c r="S83" s="62">
        <v>200000</v>
      </c>
      <c r="T83" s="44"/>
      <c r="U83" s="44"/>
      <c r="V83" s="44"/>
      <c r="W83" s="1">
        <f t="shared" si="33"/>
        <v>285400</v>
      </c>
      <c r="X83" s="1"/>
      <c r="Y83" s="1">
        <v>5534149</v>
      </c>
      <c r="Z83" s="1"/>
      <c r="AA83" s="76"/>
      <c r="AB83" s="76"/>
      <c r="AC83" s="75"/>
      <c r="AD83" s="75"/>
      <c r="AE83" s="75"/>
      <c r="AF83" s="75"/>
      <c r="AG83" s="75"/>
      <c r="AH83" s="1">
        <f t="shared" si="31"/>
        <v>771424</v>
      </c>
      <c r="AI83" s="1">
        <v>771424</v>
      </c>
      <c r="AJ83" s="1"/>
      <c r="AK83" s="1"/>
      <c r="AL83" s="1">
        <f t="shared" si="35"/>
        <v>0</v>
      </c>
      <c r="AM83" s="26"/>
      <c r="AN83" s="26"/>
      <c r="AO83" s="26"/>
      <c r="AP83" s="26"/>
      <c r="AQ83" s="1"/>
      <c r="AR83" s="1">
        <f t="shared" si="36"/>
        <v>296800</v>
      </c>
      <c r="AS83" s="1">
        <f>200116+9884</f>
        <v>210000</v>
      </c>
      <c r="AT83" s="1">
        <f>106022-19222</f>
        <v>86800</v>
      </c>
      <c r="AU83" s="1">
        <f t="shared" si="32"/>
        <v>594524</v>
      </c>
      <c r="AV83" s="1">
        <f>590640+3884</f>
        <v>594524</v>
      </c>
      <c r="AW83" s="75"/>
      <c r="AX83" s="75"/>
      <c r="AY83" s="61"/>
      <c r="AZ83" s="1"/>
      <c r="BA83" s="1"/>
      <c r="BB83" s="62">
        <v>798760</v>
      </c>
      <c r="BC83" s="62">
        <f t="shared" si="37"/>
        <v>0</v>
      </c>
      <c r="BD83" s="62"/>
      <c r="BE83" s="62"/>
      <c r="BF83" s="1">
        <v>130507</v>
      </c>
      <c r="BG83" s="1">
        <v>130507</v>
      </c>
      <c r="BH83" s="1">
        <f t="shared" si="38"/>
        <v>551637</v>
      </c>
      <c r="BI83" s="1">
        <v>404137</v>
      </c>
      <c r="BJ83" s="1">
        <v>147500</v>
      </c>
      <c r="BK83" s="1"/>
      <c r="BL83" s="1"/>
      <c r="BM83" s="1"/>
      <c r="BN83" s="1"/>
      <c r="BO83" s="1"/>
      <c r="BP83" s="1"/>
      <c r="BQ83" s="1"/>
      <c r="BR83" s="1">
        <v>0</v>
      </c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75"/>
      <c r="CK83" s="75"/>
      <c r="CL83" s="1">
        <f t="shared" si="34"/>
        <v>8677801</v>
      </c>
    </row>
    <row r="84" spans="1:90" ht="65.25" customHeight="1" x14ac:dyDescent="0.95">
      <c r="A84" s="2" t="s">
        <v>66</v>
      </c>
      <c r="B84" s="95" t="s">
        <v>169</v>
      </c>
      <c r="C84" s="95"/>
      <c r="D84" s="44"/>
      <c r="E84" s="44"/>
      <c r="F84" s="44"/>
      <c r="G84" s="44"/>
      <c r="H84" s="44"/>
      <c r="I84" s="44"/>
      <c r="J84" s="44"/>
      <c r="K84" s="1">
        <v>3700</v>
      </c>
      <c r="L84" s="44"/>
      <c r="M84" s="45"/>
      <c r="N84" s="44"/>
      <c r="O84" s="44"/>
      <c r="P84" s="44"/>
      <c r="Q84" s="44"/>
      <c r="R84" s="44"/>
      <c r="S84" s="62"/>
      <c r="T84" s="44"/>
      <c r="U84" s="44"/>
      <c r="V84" s="44"/>
      <c r="W84" s="1">
        <f t="shared" si="33"/>
        <v>3700</v>
      </c>
      <c r="X84" s="1"/>
      <c r="Y84" s="1">
        <v>1410511</v>
      </c>
      <c r="Z84" s="1"/>
      <c r="AA84" s="76"/>
      <c r="AB84" s="76"/>
      <c r="AC84" s="75"/>
      <c r="AD84" s="75"/>
      <c r="AE84" s="75"/>
      <c r="AF84" s="75"/>
      <c r="AG84" s="75"/>
      <c r="AH84" s="1">
        <f t="shared" si="31"/>
        <v>0</v>
      </c>
      <c r="AI84" s="1"/>
      <c r="AJ84" s="1"/>
      <c r="AK84" s="1"/>
      <c r="AL84" s="1">
        <f t="shared" si="35"/>
        <v>0</v>
      </c>
      <c r="AM84" s="26"/>
      <c r="AN84" s="26"/>
      <c r="AO84" s="26"/>
      <c r="AP84" s="26"/>
      <c r="AQ84" s="1"/>
      <c r="AR84" s="1">
        <f t="shared" si="36"/>
        <v>63600</v>
      </c>
      <c r="AS84" s="1">
        <f>42882+2118</f>
        <v>45000</v>
      </c>
      <c r="AT84" s="1">
        <f>22719-4119</f>
        <v>18600</v>
      </c>
      <c r="AU84" s="1">
        <f t="shared" si="32"/>
        <v>182090</v>
      </c>
      <c r="AV84" s="1">
        <f>180888+1202</f>
        <v>182090</v>
      </c>
      <c r="AW84" s="75"/>
      <c r="AX84" s="75"/>
      <c r="AY84" s="61"/>
      <c r="AZ84" s="1"/>
      <c r="BA84" s="1"/>
      <c r="BB84" s="62">
        <v>189180</v>
      </c>
      <c r="BC84" s="62">
        <f t="shared" si="37"/>
        <v>0</v>
      </c>
      <c r="BD84" s="62"/>
      <c r="BE84" s="62"/>
      <c r="BF84" s="1"/>
      <c r="BG84" s="1"/>
      <c r="BH84" s="1">
        <f t="shared" si="38"/>
        <v>0</v>
      </c>
      <c r="BI84" s="1"/>
      <c r="BJ84" s="1">
        <v>0</v>
      </c>
      <c r="BK84" s="1"/>
      <c r="BL84" s="1"/>
      <c r="BM84" s="1"/>
      <c r="BN84" s="1"/>
      <c r="BO84" s="1"/>
      <c r="BP84" s="1"/>
      <c r="BQ84" s="1"/>
      <c r="BR84" s="1">
        <v>0</v>
      </c>
      <c r="BS84" s="1"/>
      <c r="BT84" s="1"/>
      <c r="BU84" s="1"/>
      <c r="BV84" s="1"/>
      <c r="BW84" s="1"/>
      <c r="BX84" s="1"/>
      <c r="BY84" s="1">
        <f>130000+10000</f>
        <v>140000</v>
      </c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75"/>
      <c r="CK84" s="75"/>
      <c r="CL84" s="1">
        <f t="shared" si="34"/>
        <v>1985381</v>
      </c>
    </row>
    <row r="85" spans="1:90" ht="65.25" customHeight="1" x14ac:dyDescent="0.95">
      <c r="A85" s="2" t="s">
        <v>71</v>
      </c>
      <c r="B85" s="95" t="s">
        <v>170</v>
      </c>
      <c r="C85" s="95"/>
      <c r="D85" s="44"/>
      <c r="E85" s="44"/>
      <c r="F85" s="44"/>
      <c r="G85" s="44"/>
      <c r="H85" s="44"/>
      <c r="I85" s="44"/>
      <c r="J85" s="44"/>
      <c r="K85" s="47">
        <v>3900</v>
      </c>
      <c r="L85" s="44"/>
      <c r="M85" s="62">
        <v>40000</v>
      </c>
      <c r="N85" s="44"/>
      <c r="O85" s="44"/>
      <c r="P85" s="44"/>
      <c r="Q85" s="44"/>
      <c r="R85" s="44"/>
      <c r="S85" s="62"/>
      <c r="T85" s="44"/>
      <c r="U85" s="44"/>
      <c r="V85" s="44"/>
      <c r="W85" s="1">
        <f t="shared" si="33"/>
        <v>43900</v>
      </c>
      <c r="X85" s="1"/>
      <c r="Y85" s="1"/>
      <c r="Z85" s="1"/>
      <c r="AA85" s="76"/>
      <c r="AB85" s="76"/>
      <c r="AC85" s="75"/>
      <c r="AD85" s="75"/>
      <c r="AE85" s="75"/>
      <c r="AF85" s="75"/>
      <c r="AG85" s="75"/>
      <c r="AH85" s="1">
        <f t="shared" si="31"/>
        <v>0</v>
      </c>
      <c r="AI85" s="1"/>
      <c r="AJ85" s="1"/>
      <c r="AK85" s="1"/>
      <c r="AL85" s="1">
        <f t="shared" si="35"/>
        <v>0</v>
      </c>
      <c r="AM85" s="26"/>
      <c r="AN85" s="26"/>
      <c r="AO85" s="26"/>
      <c r="AP85" s="26"/>
      <c r="AQ85" s="1"/>
      <c r="AR85" s="1">
        <f t="shared" si="36"/>
        <v>0</v>
      </c>
      <c r="AS85" s="1"/>
      <c r="AT85" s="1"/>
      <c r="AU85" s="1">
        <f t="shared" si="32"/>
        <v>109382</v>
      </c>
      <c r="AV85" s="1">
        <f>108685+697</f>
        <v>109382</v>
      </c>
      <c r="AW85" s="75"/>
      <c r="AX85" s="75"/>
      <c r="AY85" s="61"/>
      <c r="AZ85" s="1"/>
      <c r="BA85" s="1"/>
      <c r="BB85" s="62">
        <v>189180</v>
      </c>
      <c r="BC85" s="62">
        <f t="shared" si="37"/>
        <v>0</v>
      </c>
      <c r="BD85" s="62"/>
      <c r="BE85" s="62"/>
      <c r="BF85" s="1"/>
      <c r="BG85" s="1"/>
      <c r="BH85" s="1">
        <f t="shared" si="38"/>
        <v>0</v>
      </c>
      <c r="BI85" s="1"/>
      <c r="BJ85" s="1">
        <v>0</v>
      </c>
      <c r="BK85" s="1"/>
      <c r="BL85" s="1"/>
      <c r="BM85" s="1"/>
      <c r="BN85" s="1"/>
      <c r="BO85" s="1"/>
      <c r="BP85" s="1"/>
      <c r="BQ85" s="1"/>
      <c r="BR85" s="1">
        <v>0</v>
      </c>
      <c r="BS85" s="1"/>
      <c r="BT85" s="1"/>
      <c r="BU85" s="1"/>
      <c r="BV85" s="1"/>
      <c r="BW85" s="1"/>
      <c r="BX85" s="1"/>
      <c r="BY85" s="1">
        <v>155000</v>
      </c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75"/>
      <c r="CK85" s="75"/>
      <c r="CL85" s="1">
        <f t="shared" si="34"/>
        <v>453562</v>
      </c>
    </row>
    <row r="86" spans="1:90" ht="65.25" customHeight="1" x14ac:dyDescent="0.95">
      <c r="A86" s="2" t="s">
        <v>76</v>
      </c>
      <c r="B86" s="95" t="s">
        <v>171</v>
      </c>
      <c r="C86" s="95"/>
      <c r="D86" s="44"/>
      <c r="E86" s="44"/>
      <c r="F86" s="44"/>
      <c r="G86" s="44"/>
      <c r="H86" s="44"/>
      <c r="I86" s="44"/>
      <c r="J86" s="44"/>
      <c r="K86" s="1">
        <v>12900</v>
      </c>
      <c r="L86" s="44"/>
      <c r="M86" s="45"/>
      <c r="N86" s="44"/>
      <c r="O86" s="44"/>
      <c r="P86" s="44"/>
      <c r="Q86" s="44"/>
      <c r="R86" s="44"/>
      <c r="S86" s="62"/>
      <c r="T86" s="44"/>
      <c r="U86" s="44"/>
      <c r="V86" s="44"/>
      <c r="W86" s="1">
        <f t="shared" si="33"/>
        <v>12900</v>
      </c>
      <c r="X86" s="1"/>
      <c r="Y86" s="1">
        <v>3399472</v>
      </c>
      <c r="Z86" s="1"/>
      <c r="AA86" s="76"/>
      <c r="AB86" s="76"/>
      <c r="AC86" s="75"/>
      <c r="AD86" s="75"/>
      <c r="AE86" s="75"/>
      <c r="AF86" s="75"/>
      <c r="AG86" s="75"/>
      <c r="AH86" s="1">
        <f t="shared" si="31"/>
        <v>0</v>
      </c>
      <c r="AI86" s="1"/>
      <c r="AJ86" s="1"/>
      <c r="AK86" s="1"/>
      <c r="AL86" s="1">
        <f t="shared" si="35"/>
        <v>35885.51</v>
      </c>
      <c r="AM86" s="1"/>
      <c r="AN86" s="1"/>
      <c r="AO86" s="1"/>
      <c r="AP86" s="1">
        <v>35885.51</v>
      </c>
      <c r="AQ86" s="1"/>
      <c r="AR86" s="1">
        <f t="shared" si="36"/>
        <v>628521</v>
      </c>
      <c r="AS86" s="1">
        <f>418008+24513</f>
        <v>442521</v>
      </c>
      <c r="AT86" s="1">
        <f>220506-34506</f>
        <v>186000</v>
      </c>
      <c r="AU86" s="1">
        <f t="shared" si="32"/>
        <v>410731</v>
      </c>
      <c r="AV86" s="1">
        <f>408108+2623</f>
        <v>410731</v>
      </c>
      <c r="AW86" s="75"/>
      <c r="AX86" s="75"/>
      <c r="AY86" s="61"/>
      <c r="AZ86" s="1"/>
      <c r="BA86" s="1"/>
      <c r="BB86" s="62">
        <v>252240</v>
      </c>
      <c r="BC86" s="62">
        <f t="shared" si="37"/>
        <v>0</v>
      </c>
      <c r="BD86" s="62"/>
      <c r="BE86" s="62"/>
      <c r="BF86" s="1"/>
      <c r="BG86" s="1"/>
      <c r="BH86" s="1">
        <f t="shared" si="38"/>
        <v>0</v>
      </c>
      <c r="BI86" s="1"/>
      <c r="BJ86" s="1">
        <v>0</v>
      </c>
      <c r="BK86" s="1"/>
      <c r="BL86" s="1"/>
      <c r="BM86" s="1"/>
      <c r="BN86" s="1"/>
      <c r="BO86" s="1"/>
      <c r="BP86" s="1"/>
      <c r="BQ86" s="1"/>
      <c r="BR86" s="1">
        <v>0</v>
      </c>
      <c r="BS86" s="1"/>
      <c r="BT86" s="1"/>
      <c r="BU86" s="1"/>
      <c r="BV86" s="1"/>
      <c r="BW86" s="1"/>
      <c r="BX86" s="1"/>
      <c r="BY86" s="1">
        <v>165000</v>
      </c>
      <c r="BZ86" s="1"/>
      <c r="CA86" s="1"/>
      <c r="CB86" s="1"/>
      <c r="CC86" s="1"/>
      <c r="CD86" s="1"/>
      <c r="CE86" s="1"/>
      <c r="CF86" s="1">
        <f>600000+500000</f>
        <v>1100000</v>
      </c>
      <c r="CG86" s="1"/>
      <c r="CH86" s="1"/>
      <c r="CI86" s="1"/>
      <c r="CJ86" s="75"/>
      <c r="CK86" s="75"/>
      <c r="CL86" s="1">
        <f t="shared" si="34"/>
        <v>5991849.5099999998</v>
      </c>
    </row>
    <row r="87" spans="1:90" ht="65.25" customHeight="1" x14ac:dyDescent="0.95">
      <c r="A87" s="2" t="s">
        <v>68</v>
      </c>
      <c r="B87" s="95" t="s">
        <v>172</v>
      </c>
      <c r="C87" s="95"/>
      <c r="D87" s="44"/>
      <c r="E87" s="44"/>
      <c r="F87" s="44"/>
      <c r="G87" s="44"/>
      <c r="H87" s="44"/>
      <c r="I87" s="44"/>
      <c r="J87" s="44"/>
      <c r="K87" s="1">
        <v>7000</v>
      </c>
      <c r="L87" s="44"/>
      <c r="M87" s="45">
        <v>80000</v>
      </c>
      <c r="N87" s="44"/>
      <c r="O87" s="44"/>
      <c r="P87" s="44"/>
      <c r="Q87" s="44"/>
      <c r="R87" s="44"/>
      <c r="S87" s="62"/>
      <c r="T87" s="44"/>
      <c r="U87" s="44"/>
      <c r="V87" s="44"/>
      <c r="W87" s="1">
        <f t="shared" si="33"/>
        <v>87000</v>
      </c>
      <c r="X87" s="1"/>
      <c r="Y87" s="1">
        <v>2634961</v>
      </c>
      <c r="Z87" s="1"/>
      <c r="AA87" s="76"/>
      <c r="AB87" s="76"/>
      <c r="AC87" s="75"/>
      <c r="AD87" s="75"/>
      <c r="AE87" s="75"/>
      <c r="AF87" s="75"/>
      <c r="AG87" s="75"/>
      <c r="AH87" s="1">
        <f t="shared" si="31"/>
        <v>0</v>
      </c>
      <c r="AI87" s="1"/>
      <c r="AJ87" s="1"/>
      <c r="AK87" s="1"/>
      <c r="AL87" s="1">
        <f t="shared" si="35"/>
        <v>0</v>
      </c>
      <c r="AM87" s="1"/>
      <c r="AN87" s="1"/>
      <c r="AO87" s="1"/>
      <c r="AP87" s="1"/>
      <c r="AQ87" s="1"/>
      <c r="AR87" s="1">
        <f t="shared" si="36"/>
        <v>268121</v>
      </c>
      <c r="AS87" s="1">
        <f>175010+12511</f>
        <v>187521</v>
      </c>
      <c r="AT87" s="1">
        <f>91765-11165</f>
        <v>80600</v>
      </c>
      <c r="AU87" s="1">
        <f t="shared" si="32"/>
        <v>290066</v>
      </c>
      <c r="AV87" s="1">
        <f>288189+1877</f>
        <v>290066</v>
      </c>
      <c r="AW87" s="75"/>
      <c r="AX87" s="75"/>
      <c r="AY87" s="61"/>
      <c r="AZ87" s="1"/>
      <c r="BA87" s="1"/>
      <c r="BB87" s="62">
        <v>168160</v>
      </c>
      <c r="BC87" s="62">
        <f t="shared" si="37"/>
        <v>0</v>
      </c>
      <c r="BD87" s="62"/>
      <c r="BE87" s="62"/>
      <c r="BF87" s="1"/>
      <c r="BG87" s="1"/>
      <c r="BH87" s="1">
        <f t="shared" si="38"/>
        <v>0</v>
      </c>
      <c r="BI87" s="1"/>
      <c r="BJ87" s="1">
        <v>0</v>
      </c>
      <c r="BK87" s="1"/>
      <c r="BL87" s="1"/>
      <c r="BM87" s="1"/>
      <c r="BN87" s="1"/>
      <c r="BO87" s="1"/>
      <c r="BP87" s="1"/>
      <c r="BQ87" s="1"/>
      <c r="BR87" s="1">
        <v>0</v>
      </c>
      <c r="BS87" s="1"/>
      <c r="BT87" s="1"/>
      <c r="BU87" s="1"/>
      <c r="BV87" s="1"/>
      <c r="BW87" s="1"/>
      <c r="BX87" s="1"/>
      <c r="BY87" s="1">
        <v>110000</v>
      </c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75"/>
      <c r="CK87" s="75"/>
      <c r="CL87" s="1">
        <f t="shared" si="34"/>
        <v>3471308</v>
      </c>
    </row>
    <row r="88" spans="1:90" ht="65.25" customHeight="1" x14ac:dyDescent="0.95">
      <c r="A88" s="2" t="s">
        <v>75</v>
      </c>
      <c r="B88" s="95" t="s">
        <v>173</v>
      </c>
      <c r="C88" s="95"/>
      <c r="D88" s="44"/>
      <c r="E88" s="44"/>
      <c r="F88" s="44"/>
      <c r="G88" s="44"/>
      <c r="H88" s="44"/>
      <c r="I88" s="44"/>
      <c r="J88" s="44"/>
      <c r="K88" s="1">
        <v>2700</v>
      </c>
      <c r="L88" s="44"/>
      <c r="M88" s="45"/>
      <c r="N88" s="44"/>
      <c r="O88" s="44"/>
      <c r="P88" s="44"/>
      <c r="Q88" s="44"/>
      <c r="R88" s="44"/>
      <c r="S88" s="62"/>
      <c r="T88" s="44"/>
      <c r="U88" s="44"/>
      <c r="V88" s="44"/>
      <c r="W88" s="1">
        <f t="shared" si="33"/>
        <v>2700</v>
      </c>
      <c r="X88" s="1"/>
      <c r="Y88" s="1"/>
      <c r="Z88" s="1"/>
      <c r="AA88" s="76"/>
      <c r="AB88" s="76"/>
      <c r="AC88" s="75"/>
      <c r="AD88" s="75"/>
      <c r="AE88" s="75"/>
      <c r="AF88" s="75"/>
      <c r="AG88" s="75"/>
      <c r="AH88" s="1">
        <f t="shared" si="31"/>
        <v>0</v>
      </c>
      <c r="AI88" s="1"/>
      <c r="AJ88" s="1"/>
      <c r="AK88" s="1"/>
      <c r="AL88" s="1">
        <f t="shared" si="35"/>
        <v>0</v>
      </c>
      <c r="AM88" s="1"/>
      <c r="AN88" s="1"/>
      <c r="AO88" s="1"/>
      <c r="AP88" s="1"/>
      <c r="AQ88" s="1"/>
      <c r="AR88" s="1">
        <f t="shared" si="36"/>
        <v>0</v>
      </c>
      <c r="AS88" s="1"/>
      <c r="AT88" s="1"/>
      <c r="AU88" s="1">
        <f t="shared" si="32"/>
        <v>127249</v>
      </c>
      <c r="AV88" s="1">
        <f>126416+833</f>
        <v>127249</v>
      </c>
      <c r="AW88" s="75"/>
      <c r="AX88" s="75"/>
      <c r="AY88" s="61"/>
      <c r="AZ88" s="1"/>
      <c r="BA88" s="1"/>
      <c r="BB88" s="62">
        <v>168160</v>
      </c>
      <c r="BC88" s="62">
        <f t="shared" si="37"/>
        <v>0</v>
      </c>
      <c r="BD88" s="62"/>
      <c r="BE88" s="62"/>
      <c r="BF88" s="1"/>
      <c r="BG88" s="1"/>
      <c r="BH88" s="1">
        <f t="shared" si="38"/>
        <v>0</v>
      </c>
      <c r="BI88" s="1"/>
      <c r="BJ88" s="1">
        <v>0</v>
      </c>
      <c r="BK88" s="1"/>
      <c r="BL88" s="1"/>
      <c r="BM88" s="1"/>
      <c r="BN88" s="1"/>
      <c r="BO88" s="1"/>
      <c r="BP88" s="1"/>
      <c r="BQ88" s="1"/>
      <c r="BR88" s="1">
        <v>0</v>
      </c>
      <c r="BS88" s="62"/>
      <c r="BT88" s="62"/>
      <c r="BU88" s="62"/>
      <c r="BV88" s="1"/>
      <c r="BW88" s="1"/>
      <c r="BX88" s="1"/>
      <c r="BY88" s="1">
        <v>110000</v>
      </c>
      <c r="BZ88" s="1"/>
      <c r="CA88" s="1"/>
      <c r="CB88" s="1"/>
      <c r="CC88" s="1"/>
      <c r="CD88" s="1"/>
      <c r="CE88" s="1">
        <v>1000000</v>
      </c>
      <c r="CF88" s="1">
        <f>600000+600000</f>
        <v>1200000</v>
      </c>
      <c r="CG88" s="1"/>
      <c r="CH88" s="1"/>
      <c r="CI88" s="1"/>
      <c r="CJ88" s="75"/>
      <c r="CK88" s="75"/>
      <c r="CL88" s="1">
        <f t="shared" si="34"/>
        <v>2605409</v>
      </c>
    </row>
    <row r="89" spans="1:90" ht="65.25" customHeight="1" x14ac:dyDescent="0.95">
      <c r="A89" s="2" t="s">
        <v>72</v>
      </c>
      <c r="B89" s="95" t="s">
        <v>174</v>
      </c>
      <c r="C89" s="95"/>
      <c r="D89" s="44"/>
      <c r="E89" s="44"/>
      <c r="F89" s="44"/>
      <c r="G89" s="44"/>
      <c r="H89" s="44"/>
      <c r="I89" s="44"/>
      <c r="J89" s="44"/>
      <c r="K89" s="47">
        <v>8600</v>
      </c>
      <c r="L89" s="44"/>
      <c r="M89" s="45"/>
      <c r="N89" s="44"/>
      <c r="O89" s="44"/>
      <c r="P89" s="44"/>
      <c r="Q89" s="44"/>
      <c r="R89" s="44"/>
      <c r="S89" s="62">
        <f>210000-10000</f>
        <v>200000</v>
      </c>
      <c r="T89" s="44"/>
      <c r="U89" s="44"/>
      <c r="V89" s="44"/>
      <c r="W89" s="1">
        <f t="shared" si="33"/>
        <v>208600</v>
      </c>
      <c r="X89" s="1"/>
      <c r="Y89" s="1">
        <v>4082740</v>
      </c>
      <c r="Z89" s="1"/>
      <c r="AA89" s="76"/>
      <c r="AB89" s="76"/>
      <c r="AC89" s="75"/>
      <c r="AD89" s="75"/>
      <c r="AE89" s="75"/>
      <c r="AF89" s="75"/>
      <c r="AG89" s="75"/>
      <c r="AH89" s="1">
        <f t="shared" ref="AH89:AH108" si="39">AI89+AJ89</f>
        <v>1100317</v>
      </c>
      <c r="AI89" s="1">
        <v>1100317</v>
      </c>
      <c r="AJ89" s="1"/>
      <c r="AK89" s="1"/>
      <c r="AL89" s="1">
        <f t="shared" si="35"/>
        <v>0</v>
      </c>
      <c r="AM89" s="1"/>
      <c r="AN89" s="1"/>
      <c r="AO89" s="1"/>
      <c r="AP89" s="1"/>
      <c r="AQ89" s="1"/>
      <c r="AR89" s="1">
        <f t="shared" si="36"/>
        <v>225721</v>
      </c>
      <c r="AS89" s="1">
        <f>146422+11099</f>
        <v>157521</v>
      </c>
      <c r="AT89" s="1">
        <f>76619-8419</f>
        <v>68200</v>
      </c>
      <c r="AU89" s="1">
        <f t="shared" si="32"/>
        <v>285135</v>
      </c>
      <c r="AV89" s="1">
        <f>283373+1762</f>
        <v>285135</v>
      </c>
      <c r="AW89" s="75"/>
      <c r="AX89" s="75"/>
      <c r="AY89" s="61"/>
      <c r="AZ89" s="1"/>
      <c r="BA89" s="1"/>
      <c r="BB89" s="62">
        <v>231220</v>
      </c>
      <c r="BC89" s="62">
        <f t="shared" si="37"/>
        <v>0</v>
      </c>
      <c r="BD89" s="62"/>
      <c r="BE89" s="62"/>
      <c r="BF89" s="1">
        <v>178920</v>
      </c>
      <c r="BG89" s="1">
        <v>178920</v>
      </c>
      <c r="BH89" s="1">
        <f t="shared" si="38"/>
        <v>1190056</v>
      </c>
      <c r="BI89" s="1">
        <v>554056</v>
      </c>
      <c r="BJ89" s="1">
        <v>636000</v>
      </c>
      <c r="BK89" s="1"/>
      <c r="BL89" s="1"/>
      <c r="BM89" s="1"/>
      <c r="BN89" s="1"/>
      <c r="BO89" s="1"/>
      <c r="BP89" s="1"/>
      <c r="BQ89" s="1"/>
      <c r="BR89" s="1">
        <v>0</v>
      </c>
      <c r="BS89" s="1"/>
      <c r="BT89" s="1"/>
      <c r="BU89" s="1"/>
      <c r="BV89" s="1"/>
      <c r="BW89" s="1"/>
      <c r="BX89" s="1"/>
      <c r="BY89" s="1">
        <v>500000</v>
      </c>
      <c r="BZ89" s="1"/>
      <c r="CA89" s="1"/>
      <c r="CB89" s="1"/>
      <c r="CC89" s="1">
        <v>100000</v>
      </c>
      <c r="CD89" s="1"/>
      <c r="CE89" s="1"/>
      <c r="CF89" s="1"/>
      <c r="CG89" s="1"/>
      <c r="CH89" s="1"/>
      <c r="CI89" s="1"/>
      <c r="CJ89" s="75"/>
      <c r="CK89" s="75"/>
      <c r="CL89" s="1">
        <f t="shared" si="34"/>
        <v>7894109</v>
      </c>
    </row>
    <row r="90" spans="1:90" ht="134.25" customHeight="1" x14ac:dyDescent="1.05">
      <c r="A90" s="2" t="s">
        <v>70</v>
      </c>
      <c r="B90" s="95" t="s">
        <v>175</v>
      </c>
      <c r="C90" s="95"/>
      <c r="D90" s="44"/>
      <c r="E90" s="44"/>
      <c r="F90" s="44"/>
      <c r="G90" s="44"/>
      <c r="H90" s="44"/>
      <c r="I90" s="44"/>
      <c r="J90" s="44"/>
      <c r="K90" s="1">
        <v>6400</v>
      </c>
      <c r="L90" s="44"/>
      <c r="M90" s="45"/>
      <c r="N90" s="44"/>
      <c r="O90" s="44"/>
      <c r="P90" s="44"/>
      <c r="Q90" s="44"/>
      <c r="R90" s="44"/>
      <c r="S90" s="62">
        <v>200000</v>
      </c>
      <c r="T90" s="44"/>
      <c r="U90" s="44"/>
      <c r="V90" s="44"/>
      <c r="W90" s="1">
        <f t="shared" si="33"/>
        <v>206400</v>
      </c>
      <c r="X90" s="1"/>
      <c r="Y90" s="1"/>
      <c r="Z90" s="1"/>
      <c r="AA90" s="76"/>
      <c r="AB90" s="76"/>
      <c r="AC90" s="75"/>
      <c r="AD90" s="75"/>
      <c r="AE90" s="75"/>
      <c r="AF90" s="75"/>
      <c r="AG90" s="75"/>
      <c r="AH90" s="1">
        <f t="shared" si="39"/>
        <v>0</v>
      </c>
      <c r="AI90" s="1"/>
      <c r="AJ90" s="1"/>
      <c r="AK90" s="1"/>
      <c r="AL90" s="1">
        <f t="shared" si="35"/>
        <v>1049779.77</v>
      </c>
      <c r="AM90" s="1"/>
      <c r="AN90" s="1">
        <v>49779.77</v>
      </c>
      <c r="AO90" s="1"/>
      <c r="AP90" s="1"/>
      <c r="AQ90" s="1">
        <v>1000000</v>
      </c>
      <c r="AR90" s="1">
        <f t="shared" si="36"/>
        <v>56121</v>
      </c>
      <c r="AS90" s="1">
        <f>32070+5451</f>
        <v>37521</v>
      </c>
      <c r="AT90" s="1">
        <f>16035+2565</f>
        <v>18600</v>
      </c>
      <c r="AU90" s="1">
        <f t="shared" si="32"/>
        <v>149829</v>
      </c>
      <c r="AV90" s="1">
        <f>148895+934</f>
        <v>149829</v>
      </c>
      <c r="AW90" s="75"/>
      <c r="AX90" s="75"/>
      <c r="AY90" s="61"/>
      <c r="AZ90" s="1"/>
      <c r="BA90" s="1"/>
      <c r="BB90" s="62">
        <v>147140</v>
      </c>
      <c r="BC90" s="62">
        <f t="shared" si="37"/>
        <v>0</v>
      </c>
      <c r="BD90" s="62"/>
      <c r="BE90" s="62"/>
      <c r="BF90" s="1"/>
      <c r="BG90" s="1"/>
      <c r="BH90" s="1">
        <f t="shared" si="38"/>
        <v>0</v>
      </c>
      <c r="BI90" s="1"/>
      <c r="BJ90" s="1">
        <v>0</v>
      </c>
      <c r="BK90" s="1"/>
      <c r="BL90" s="1"/>
      <c r="BM90" s="1"/>
      <c r="BN90" s="1"/>
      <c r="BO90" s="1"/>
      <c r="BP90" s="1"/>
      <c r="BQ90" s="1"/>
      <c r="BR90" s="1">
        <v>0</v>
      </c>
      <c r="BS90" s="29"/>
      <c r="BT90" s="29"/>
      <c r="BU90" s="29"/>
      <c r="BV90" s="1"/>
      <c r="BW90" s="1"/>
      <c r="BX90" s="1"/>
      <c r="BY90" s="1">
        <v>250000</v>
      </c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75"/>
      <c r="CK90" s="75"/>
      <c r="CL90" s="1">
        <f t="shared" si="34"/>
        <v>1652869.77</v>
      </c>
    </row>
    <row r="91" spans="1:90" ht="74.25" customHeight="1" x14ac:dyDescent="1.1000000000000001">
      <c r="A91" s="2" t="s">
        <v>63</v>
      </c>
      <c r="B91" s="95" t="s">
        <v>176</v>
      </c>
      <c r="C91" s="95"/>
      <c r="D91" s="44"/>
      <c r="E91" s="44"/>
      <c r="F91" s="44"/>
      <c r="G91" s="44"/>
      <c r="H91" s="44"/>
      <c r="I91" s="44"/>
      <c r="J91" s="44"/>
      <c r="K91" s="47">
        <v>3500</v>
      </c>
      <c r="L91" s="44"/>
      <c r="M91" s="45"/>
      <c r="N91" s="44"/>
      <c r="O91" s="44"/>
      <c r="P91" s="44"/>
      <c r="Q91" s="44"/>
      <c r="R91" s="44"/>
      <c r="S91" s="44"/>
      <c r="T91" s="44"/>
      <c r="U91" s="44"/>
      <c r="V91" s="44"/>
      <c r="W91" s="1">
        <f t="shared" si="33"/>
        <v>3500</v>
      </c>
      <c r="X91" s="1"/>
      <c r="Y91" s="1"/>
      <c r="Z91" s="1"/>
      <c r="AA91" s="76"/>
      <c r="AB91" s="76"/>
      <c r="AC91" s="75"/>
      <c r="AD91" s="75"/>
      <c r="AE91" s="75"/>
      <c r="AF91" s="75"/>
      <c r="AG91" s="75"/>
      <c r="AH91" s="1">
        <f t="shared" si="39"/>
        <v>0</v>
      </c>
      <c r="AI91" s="1"/>
      <c r="AJ91" s="1"/>
      <c r="AK91" s="1"/>
      <c r="AL91" s="1">
        <f t="shared" si="35"/>
        <v>0</v>
      </c>
      <c r="AM91" s="1"/>
      <c r="AN91" s="1"/>
      <c r="AO91" s="1"/>
      <c r="AP91" s="1"/>
      <c r="AQ91" s="1"/>
      <c r="AR91" s="1">
        <f t="shared" si="36"/>
        <v>0</v>
      </c>
      <c r="AS91" s="1"/>
      <c r="AT91" s="1"/>
      <c r="AU91" s="1">
        <f t="shared" si="32"/>
        <v>116214</v>
      </c>
      <c r="AV91" s="1">
        <f>115479+735</f>
        <v>116214</v>
      </c>
      <c r="AW91" s="75"/>
      <c r="AX91" s="75"/>
      <c r="AY91" s="61"/>
      <c r="AZ91" s="1"/>
      <c r="BA91" s="1"/>
      <c r="BB91" s="62">
        <v>231220</v>
      </c>
      <c r="BC91" s="62">
        <f t="shared" si="37"/>
        <v>0</v>
      </c>
      <c r="BD91" s="62"/>
      <c r="BE91" s="62"/>
      <c r="BF91" s="1"/>
      <c r="BG91" s="1"/>
      <c r="BH91" s="1">
        <f t="shared" si="38"/>
        <v>0</v>
      </c>
      <c r="BI91" s="1"/>
      <c r="BJ91" s="1">
        <v>0</v>
      </c>
      <c r="BK91" s="1"/>
      <c r="BL91" s="1"/>
      <c r="BM91" s="1"/>
      <c r="BN91" s="1"/>
      <c r="BO91" s="1"/>
      <c r="BP91" s="1"/>
      <c r="BQ91" s="1"/>
      <c r="BR91" s="1">
        <v>0</v>
      </c>
      <c r="BS91" s="30"/>
      <c r="BT91" s="30"/>
      <c r="BU91" s="30"/>
      <c r="BV91" s="1"/>
      <c r="BW91" s="1"/>
      <c r="BX91" s="1"/>
      <c r="BY91" s="1">
        <f>250000-180000+25000</f>
        <v>95000</v>
      </c>
      <c r="BZ91" s="1"/>
      <c r="CA91" s="1"/>
      <c r="CB91" s="1"/>
      <c r="CC91" s="1"/>
      <c r="CD91" s="1"/>
      <c r="CE91" s="1"/>
      <c r="CF91" s="1">
        <v>690000</v>
      </c>
      <c r="CG91" s="1"/>
      <c r="CH91" s="1"/>
      <c r="CI91" s="1"/>
      <c r="CJ91" s="75"/>
      <c r="CK91" s="75"/>
      <c r="CL91" s="1">
        <f t="shared" si="34"/>
        <v>1132434</v>
      </c>
    </row>
    <row r="92" spans="1:90" ht="74.25" customHeight="1" x14ac:dyDescent="1.1000000000000001">
      <c r="A92" s="2" t="s">
        <v>73</v>
      </c>
      <c r="B92" s="95" t="s">
        <v>177</v>
      </c>
      <c r="C92" s="95"/>
      <c r="D92" s="44"/>
      <c r="E92" s="44"/>
      <c r="F92" s="44"/>
      <c r="G92" s="44"/>
      <c r="H92" s="44"/>
      <c r="I92" s="44"/>
      <c r="J92" s="44"/>
      <c r="K92" s="47">
        <v>10800</v>
      </c>
      <c r="L92" s="44"/>
      <c r="M92" s="45"/>
      <c r="N92" s="44"/>
      <c r="O92" s="44"/>
      <c r="P92" s="44"/>
      <c r="Q92" s="44"/>
      <c r="R92" s="44"/>
      <c r="S92" s="62">
        <v>200000</v>
      </c>
      <c r="T92" s="44"/>
      <c r="U92" s="44"/>
      <c r="V92" s="44"/>
      <c r="W92" s="1">
        <f t="shared" si="33"/>
        <v>210800</v>
      </c>
      <c r="X92" s="1"/>
      <c r="Y92" s="1">
        <v>3594714</v>
      </c>
      <c r="Z92" s="1"/>
      <c r="AA92" s="76"/>
      <c r="AB92" s="76"/>
      <c r="AC92" s="75"/>
      <c r="AD92" s="75"/>
      <c r="AE92" s="75"/>
      <c r="AF92" s="75"/>
      <c r="AG92" s="75"/>
      <c r="AH92" s="1">
        <f t="shared" si="39"/>
        <v>0</v>
      </c>
      <c r="AI92" s="1"/>
      <c r="AJ92" s="1"/>
      <c r="AK92" s="1"/>
      <c r="AL92" s="1">
        <f t="shared" si="35"/>
        <v>0</v>
      </c>
      <c r="AM92" s="1"/>
      <c r="AN92" s="1"/>
      <c r="AO92" s="1"/>
      <c r="AP92" s="1"/>
      <c r="AQ92" s="1"/>
      <c r="AR92" s="1">
        <f t="shared" si="36"/>
        <v>254400</v>
      </c>
      <c r="AS92" s="1">
        <f>171528+8472</f>
        <v>180000</v>
      </c>
      <c r="AT92" s="1">
        <f>90876-16476</f>
        <v>74400</v>
      </c>
      <c r="AU92" s="1">
        <f t="shared" si="32"/>
        <v>419266</v>
      </c>
      <c r="AV92" s="1">
        <f>416547+2719</f>
        <v>419266</v>
      </c>
      <c r="AW92" s="75"/>
      <c r="AX92" s="75"/>
      <c r="AY92" s="61"/>
      <c r="AZ92" s="1"/>
      <c r="BA92" s="1"/>
      <c r="BB92" s="62">
        <v>357340</v>
      </c>
      <c r="BC92" s="62">
        <f t="shared" si="37"/>
        <v>0</v>
      </c>
      <c r="BD92" s="62"/>
      <c r="BE92" s="62"/>
      <c r="BF92" s="1"/>
      <c r="BG92" s="1"/>
      <c r="BH92" s="1">
        <f t="shared" si="38"/>
        <v>0</v>
      </c>
      <c r="BI92" s="1"/>
      <c r="BJ92" s="1">
        <v>0</v>
      </c>
      <c r="BK92" s="1"/>
      <c r="BL92" s="1"/>
      <c r="BM92" s="1"/>
      <c r="BN92" s="1"/>
      <c r="BO92" s="1"/>
      <c r="BP92" s="1"/>
      <c r="BQ92" s="1"/>
      <c r="BR92" s="1">
        <v>0</v>
      </c>
      <c r="BS92" s="30"/>
      <c r="BT92" s="30"/>
      <c r="BU92" s="30"/>
      <c r="BV92" s="1"/>
      <c r="BW92" s="1"/>
      <c r="BX92" s="1"/>
      <c r="BY92" s="1">
        <v>410000</v>
      </c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75"/>
      <c r="CK92" s="75"/>
      <c r="CL92" s="1">
        <f t="shared" si="34"/>
        <v>5035720</v>
      </c>
    </row>
    <row r="93" spans="1:90" ht="74.25" customHeight="1" x14ac:dyDescent="1.05">
      <c r="A93" s="2" t="s">
        <v>87</v>
      </c>
      <c r="B93" s="95" t="s">
        <v>178</v>
      </c>
      <c r="C93" s="95"/>
      <c r="D93" s="44"/>
      <c r="E93" s="44"/>
      <c r="F93" s="44"/>
      <c r="G93" s="44"/>
      <c r="H93" s="44"/>
      <c r="I93" s="44"/>
      <c r="J93" s="44"/>
      <c r="K93" s="47">
        <v>12300</v>
      </c>
      <c r="L93" s="44"/>
      <c r="M93" s="45"/>
      <c r="N93" s="44"/>
      <c r="O93" s="44"/>
      <c r="P93" s="44"/>
      <c r="Q93" s="44"/>
      <c r="R93" s="44"/>
      <c r="S93" s="62"/>
      <c r="T93" s="44"/>
      <c r="U93" s="44"/>
      <c r="V93" s="44"/>
      <c r="W93" s="1">
        <f t="shared" si="33"/>
        <v>12300</v>
      </c>
      <c r="X93" s="1"/>
      <c r="Y93" s="1">
        <v>3305492</v>
      </c>
      <c r="Z93" s="1"/>
      <c r="AA93" s="76"/>
      <c r="AB93" s="76"/>
      <c r="AC93" s="75"/>
      <c r="AD93" s="75"/>
      <c r="AE93" s="75"/>
      <c r="AF93" s="75"/>
      <c r="AG93" s="75"/>
      <c r="AH93" s="1">
        <f t="shared" si="39"/>
        <v>0</v>
      </c>
      <c r="AI93" s="1"/>
      <c r="AJ93" s="1"/>
      <c r="AK93" s="1"/>
      <c r="AL93" s="1">
        <f t="shared" si="35"/>
        <v>1000000</v>
      </c>
      <c r="AM93" s="1"/>
      <c r="AN93" s="1"/>
      <c r="AO93" s="1"/>
      <c r="AP93" s="1"/>
      <c r="AQ93" s="1">
        <v>1000000</v>
      </c>
      <c r="AR93" s="1">
        <f t="shared" si="36"/>
        <v>402800</v>
      </c>
      <c r="AS93" s="1">
        <f>271586+13414</f>
        <v>285000</v>
      </c>
      <c r="AT93" s="1">
        <f>143887-26087</f>
        <v>117800</v>
      </c>
      <c r="AU93" s="1">
        <f t="shared" si="32"/>
        <v>401895</v>
      </c>
      <c r="AV93" s="1">
        <f>399410+2485</f>
        <v>401895</v>
      </c>
      <c r="AW93" s="75"/>
      <c r="AX93" s="75"/>
      <c r="AY93" s="61"/>
      <c r="AZ93" s="1"/>
      <c r="BA93" s="1"/>
      <c r="BB93" s="62">
        <v>357340</v>
      </c>
      <c r="BC93" s="62">
        <f t="shared" si="37"/>
        <v>0</v>
      </c>
      <c r="BD93" s="62"/>
      <c r="BE93" s="62"/>
      <c r="BF93" s="1"/>
      <c r="BG93" s="1"/>
      <c r="BH93" s="1">
        <f t="shared" si="38"/>
        <v>0</v>
      </c>
      <c r="BI93" s="1"/>
      <c r="BJ93" s="1">
        <v>0</v>
      </c>
      <c r="BK93" s="1"/>
      <c r="BL93" s="1"/>
      <c r="BM93" s="1"/>
      <c r="BN93" s="1"/>
      <c r="BO93" s="1"/>
      <c r="BP93" s="1"/>
      <c r="BQ93" s="1"/>
      <c r="BR93" s="1">
        <v>0</v>
      </c>
      <c r="BS93" s="31"/>
      <c r="BT93" s="31"/>
      <c r="BU93" s="31"/>
      <c r="BV93" s="1"/>
      <c r="BW93" s="1"/>
      <c r="BX93" s="1"/>
      <c r="BY93" s="1">
        <v>300000</v>
      </c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75"/>
      <c r="CK93" s="75"/>
      <c r="CL93" s="1">
        <f t="shared" si="34"/>
        <v>5767527</v>
      </c>
    </row>
    <row r="94" spans="1:90" ht="74.25" customHeight="1" x14ac:dyDescent="1.05">
      <c r="A94" s="2" t="s">
        <v>74</v>
      </c>
      <c r="B94" s="95" t="s">
        <v>179</v>
      </c>
      <c r="C94" s="95"/>
      <c r="D94" s="44"/>
      <c r="E94" s="44"/>
      <c r="F94" s="44"/>
      <c r="G94" s="44"/>
      <c r="H94" s="44"/>
      <c r="I94" s="44"/>
      <c r="J94" s="44"/>
      <c r="K94" s="47">
        <v>5200</v>
      </c>
      <c r="L94" s="44"/>
      <c r="M94" s="45"/>
      <c r="N94" s="44"/>
      <c r="O94" s="44"/>
      <c r="P94" s="44"/>
      <c r="Q94" s="44"/>
      <c r="R94" s="44"/>
      <c r="S94" s="62"/>
      <c r="T94" s="44"/>
      <c r="U94" s="44"/>
      <c r="V94" s="44"/>
      <c r="W94" s="1">
        <f t="shared" si="33"/>
        <v>5200</v>
      </c>
      <c r="X94" s="1"/>
      <c r="Y94" s="1">
        <v>2078989</v>
      </c>
      <c r="Z94" s="1"/>
      <c r="AA94" s="76"/>
      <c r="AB94" s="76"/>
      <c r="AC94" s="75"/>
      <c r="AD94" s="75"/>
      <c r="AE94" s="75"/>
      <c r="AF94" s="75"/>
      <c r="AG94" s="75"/>
      <c r="AH94" s="1">
        <f t="shared" si="39"/>
        <v>0</v>
      </c>
      <c r="AI94" s="1"/>
      <c r="AJ94" s="1"/>
      <c r="AK94" s="1"/>
      <c r="AL94" s="1">
        <f t="shared" si="35"/>
        <v>0</v>
      </c>
      <c r="AM94" s="1"/>
      <c r="AN94" s="1"/>
      <c r="AO94" s="1"/>
      <c r="AP94" s="1"/>
      <c r="AQ94" s="1"/>
      <c r="AR94" s="1">
        <f t="shared" si="36"/>
        <v>0</v>
      </c>
      <c r="AS94" s="1"/>
      <c r="AT94" s="1"/>
      <c r="AU94" s="1">
        <f t="shared" si="32"/>
        <v>226441</v>
      </c>
      <c r="AV94" s="1">
        <f>224982+1459</f>
        <v>226441</v>
      </c>
      <c r="AW94" s="75"/>
      <c r="AX94" s="75"/>
      <c r="AY94" s="61"/>
      <c r="AZ94" s="1"/>
      <c r="BA94" s="1"/>
      <c r="BB94" s="62">
        <v>105100</v>
      </c>
      <c r="BC94" s="62">
        <f t="shared" si="37"/>
        <v>0</v>
      </c>
      <c r="BD94" s="62"/>
      <c r="BE94" s="62"/>
      <c r="BF94" s="1"/>
      <c r="BG94" s="1"/>
      <c r="BH94" s="1">
        <f t="shared" si="38"/>
        <v>0</v>
      </c>
      <c r="BI94" s="1"/>
      <c r="BJ94" s="1">
        <v>0</v>
      </c>
      <c r="BK94" s="1"/>
      <c r="BL94" s="1"/>
      <c r="BM94" s="1"/>
      <c r="BN94" s="1"/>
      <c r="BO94" s="1"/>
      <c r="BP94" s="1"/>
      <c r="BQ94" s="1"/>
      <c r="BR94" s="1">
        <v>0</v>
      </c>
      <c r="BS94" s="31"/>
      <c r="BT94" s="31"/>
      <c r="BU94" s="31"/>
      <c r="BV94" s="1"/>
      <c r="BW94" s="1"/>
      <c r="BX94" s="1"/>
      <c r="BY94" s="1">
        <v>220000</v>
      </c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75"/>
      <c r="CK94" s="75"/>
      <c r="CL94" s="1">
        <f t="shared" si="34"/>
        <v>2630530</v>
      </c>
    </row>
    <row r="95" spans="1:90" ht="74.25" customHeight="1" x14ac:dyDescent="1.05">
      <c r="A95" s="2" t="s">
        <v>65</v>
      </c>
      <c r="B95" s="95" t="s">
        <v>180</v>
      </c>
      <c r="C95" s="95"/>
      <c r="D95" s="44"/>
      <c r="E95" s="44"/>
      <c r="F95" s="44"/>
      <c r="G95" s="44"/>
      <c r="H95" s="44"/>
      <c r="I95" s="44"/>
      <c r="J95" s="44"/>
      <c r="K95" s="1">
        <v>3300</v>
      </c>
      <c r="L95" s="44"/>
      <c r="M95" s="45"/>
      <c r="N95" s="44"/>
      <c r="O95" s="44"/>
      <c r="P95" s="44"/>
      <c r="Q95" s="44"/>
      <c r="R95" s="44"/>
      <c r="S95" s="62"/>
      <c r="T95" s="44"/>
      <c r="U95" s="44"/>
      <c r="V95" s="44"/>
      <c r="W95" s="1">
        <f t="shared" si="33"/>
        <v>3300</v>
      </c>
      <c r="X95" s="1"/>
      <c r="Y95" s="1">
        <v>759376</v>
      </c>
      <c r="Z95" s="1"/>
      <c r="AA95" s="76"/>
      <c r="AB95" s="76"/>
      <c r="AC95" s="75"/>
      <c r="AD95" s="75"/>
      <c r="AE95" s="75"/>
      <c r="AF95" s="75"/>
      <c r="AG95" s="75"/>
      <c r="AH95" s="1">
        <f t="shared" si="39"/>
        <v>0</v>
      </c>
      <c r="AI95" s="1"/>
      <c r="AJ95" s="1"/>
      <c r="AK95" s="1"/>
      <c r="AL95" s="1">
        <f t="shared" si="35"/>
        <v>0</v>
      </c>
      <c r="AM95" s="1"/>
      <c r="AN95" s="1"/>
      <c r="AO95" s="1"/>
      <c r="AP95" s="1"/>
      <c r="AQ95" s="1"/>
      <c r="AR95" s="1">
        <f t="shared" si="36"/>
        <v>101014</v>
      </c>
      <c r="AS95" s="1">
        <f>64262+5752</f>
        <v>70014</v>
      </c>
      <c r="AT95" s="1">
        <f>33409-2409</f>
        <v>31000</v>
      </c>
      <c r="AU95" s="1">
        <f t="shared" si="32"/>
        <v>88455</v>
      </c>
      <c r="AV95" s="1">
        <f>87888+567</f>
        <v>88455</v>
      </c>
      <c r="AW95" s="75"/>
      <c r="AX95" s="75"/>
      <c r="AY95" s="61"/>
      <c r="AZ95" s="1"/>
      <c r="BA95" s="1"/>
      <c r="BB95" s="62">
        <v>84080</v>
      </c>
      <c r="BC95" s="62">
        <f t="shared" si="37"/>
        <v>0</v>
      </c>
      <c r="BD95" s="62"/>
      <c r="BE95" s="62"/>
      <c r="BF95" s="1"/>
      <c r="BG95" s="1"/>
      <c r="BH95" s="1">
        <f t="shared" si="38"/>
        <v>0</v>
      </c>
      <c r="BI95" s="1"/>
      <c r="BJ95" s="1">
        <v>0</v>
      </c>
      <c r="BK95" s="1"/>
      <c r="BL95" s="1"/>
      <c r="BM95" s="1"/>
      <c r="BN95" s="1"/>
      <c r="BO95" s="1"/>
      <c r="BP95" s="1"/>
      <c r="BQ95" s="1"/>
      <c r="BR95" s="1">
        <v>0</v>
      </c>
      <c r="BS95" s="31"/>
      <c r="BT95" s="31"/>
      <c r="BU95" s="31"/>
      <c r="BV95" s="1"/>
      <c r="BW95" s="1"/>
      <c r="BX95" s="1"/>
      <c r="BY95" s="1">
        <v>15000</v>
      </c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75"/>
      <c r="CK95" s="75"/>
      <c r="CL95" s="1">
        <f t="shared" si="34"/>
        <v>1047925</v>
      </c>
    </row>
    <row r="96" spans="1:90" ht="74.25" customHeight="1" x14ac:dyDescent="1.05">
      <c r="A96" s="2" t="s">
        <v>64</v>
      </c>
      <c r="B96" s="95" t="s">
        <v>181</v>
      </c>
      <c r="C96" s="95"/>
      <c r="D96" s="44"/>
      <c r="E96" s="44"/>
      <c r="F96" s="44"/>
      <c r="G96" s="1"/>
      <c r="H96" s="1">
        <v>20000000</v>
      </c>
      <c r="I96" s="44"/>
      <c r="J96" s="44"/>
      <c r="K96" s="1">
        <v>4300</v>
      </c>
      <c r="L96" s="44"/>
      <c r="M96" s="45"/>
      <c r="N96" s="44"/>
      <c r="O96" s="44"/>
      <c r="P96" s="44"/>
      <c r="Q96" s="44"/>
      <c r="R96" s="44"/>
      <c r="S96" s="62">
        <v>200000</v>
      </c>
      <c r="T96" s="44"/>
      <c r="U96" s="44"/>
      <c r="V96" s="44"/>
      <c r="W96" s="1">
        <f t="shared" si="33"/>
        <v>20204300</v>
      </c>
      <c r="X96" s="1"/>
      <c r="Y96" s="1"/>
      <c r="Z96" s="1"/>
      <c r="AA96" s="76"/>
      <c r="AB96" s="76"/>
      <c r="AC96" s="75"/>
      <c r="AD96" s="75"/>
      <c r="AE96" s="75"/>
      <c r="AF96" s="75"/>
      <c r="AG96" s="75"/>
      <c r="AH96" s="1">
        <f t="shared" si="39"/>
        <v>0</v>
      </c>
      <c r="AI96" s="1"/>
      <c r="AJ96" s="1"/>
      <c r="AK96" s="1"/>
      <c r="AL96" s="1">
        <f t="shared" si="35"/>
        <v>0</v>
      </c>
      <c r="AM96" s="1"/>
      <c r="AN96" s="1"/>
      <c r="AO96" s="1"/>
      <c r="AP96" s="1"/>
      <c r="AQ96" s="1"/>
      <c r="AR96" s="1">
        <f t="shared" si="36"/>
        <v>0</v>
      </c>
      <c r="AS96" s="1"/>
      <c r="AT96" s="1"/>
      <c r="AU96" s="1">
        <f t="shared" si="32"/>
        <v>114262</v>
      </c>
      <c r="AV96" s="1">
        <f>113538+724</f>
        <v>114262</v>
      </c>
      <c r="AW96" s="75"/>
      <c r="AX96" s="75"/>
      <c r="AY96" s="61"/>
      <c r="AZ96" s="1"/>
      <c r="BA96" s="1"/>
      <c r="BB96" s="62">
        <v>252240</v>
      </c>
      <c r="BC96" s="62">
        <f t="shared" si="37"/>
        <v>0</v>
      </c>
      <c r="BD96" s="62"/>
      <c r="BE96" s="62"/>
      <c r="BF96" s="1"/>
      <c r="BG96" s="1"/>
      <c r="BH96" s="1">
        <f t="shared" si="38"/>
        <v>0</v>
      </c>
      <c r="BI96" s="1"/>
      <c r="BJ96" s="1">
        <v>0</v>
      </c>
      <c r="BK96" s="1"/>
      <c r="BL96" s="1"/>
      <c r="BM96" s="1"/>
      <c r="BN96" s="1"/>
      <c r="BO96" s="1"/>
      <c r="BP96" s="1"/>
      <c r="BQ96" s="1"/>
      <c r="BR96" s="1">
        <v>0</v>
      </c>
      <c r="BS96" s="31"/>
      <c r="BT96" s="31"/>
      <c r="BU96" s="3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75"/>
      <c r="CK96" s="75"/>
      <c r="CL96" s="1">
        <f t="shared" si="34"/>
        <v>366502</v>
      </c>
    </row>
    <row r="97" spans="1:91" ht="74.25" customHeight="1" x14ac:dyDescent="1.05">
      <c r="A97" s="2" t="s">
        <v>80</v>
      </c>
      <c r="B97" s="95" t="s">
        <v>182</v>
      </c>
      <c r="C97" s="95"/>
      <c r="D97" s="44"/>
      <c r="E97" s="44"/>
      <c r="F97" s="44"/>
      <c r="G97" s="44"/>
      <c r="H97" s="44"/>
      <c r="I97" s="44"/>
      <c r="J97" s="44"/>
      <c r="K97" s="45">
        <v>13200</v>
      </c>
      <c r="L97" s="44"/>
      <c r="M97" s="45"/>
      <c r="N97" s="44"/>
      <c r="O97" s="44"/>
      <c r="P97" s="44"/>
      <c r="Q97" s="44"/>
      <c r="R97" s="44"/>
      <c r="S97" s="62"/>
      <c r="T97" s="44"/>
      <c r="U97" s="44"/>
      <c r="V97" s="44"/>
      <c r="W97" s="1">
        <f t="shared" si="33"/>
        <v>13200</v>
      </c>
      <c r="X97" s="1"/>
      <c r="Y97" s="1">
        <v>4006153</v>
      </c>
      <c r="Z97" s="1"/>
      <c r="AA97" s="76"/>
      <c r="AB97" s="76"/>
      <c r="AC97" s="75"/>
      <c r="AD97" s="75"/>
      <c r="AE97" s="75"/>
      <c r="AF97" s="75"/>
      <c r="AG97" s="75"/>
      <c r="AH97" s="1">
        <f t="shared" si="39"/>
        <v>0</v>
      </c>
      <c r="AI97" s="1"/>
      <c r="AJ97" s="1"/>
      <c r="AK97" s="1"/>
      <c r="AL97" s="1">
        <f t="shared" si="35"/>
        <v>1000000</v>
      </c>
      <c r="AM97" s="1"/>
      <c r="AN97" s="1"/>
      <c r="AO97" s="1"/>
      <c r="AP97" s="1"/>
      <c r="AQ97" s="1">
        <v>1000000</v>
      </c>
      <c r="AR97" s="1">
        <f t="shared" si="36"/>
        <v>0</v>
      </c>
      <c r="AS97" s="1"/>
      <c r="AT97" s="1"/>
      <c r="AU97" s="1">
        <f t="shared" si="32"/>
        <v>389506</v>
      </c>
      <c r="AV97" s="1">
        <f>387051+2455</f>
        <v>389506</v>
      </c>
      <c r="AW97" s="75"/>
      <c r="AX97" s="75"/>
      <c r="AY97" s="61"/>
      <c r="AZ97" s="1"/>
      <c r="BA97" s="1"/>
      <c r="BB97" s="62">
        <v>420400</v>
      </c>
      <c r="BC97" s="62">
        <f t="shared" si="37"/>
        <v>0</v>
      </c>
      <c r="BD97" s="62"/>
      <c r="BE97" s="62"/>
      <c r="BF97" s="1"/>
      <c r="BG97" s="1"/>
      <c r="BH97" s="1">
        <f t="shared" si="38"/>
        <v>0</v>
      </c>
      <c r="BI97" s="1"/>
      <c r="BJ97" s="1">
        <v>0</v>
      </c>
      <c r="BK97" s="1"/>
      <c r="BL97" s="1"/>
      <c r="BM97" s="1"/>
      <c r="BN97" s="1"/>
      <c r="BO97" s="1"/>
      <c r="BP97" s="1"/>
      <c r="BQ97" s="1"/>
      <c r="BR97" s="1">
        <v>0</v>
      </c>
      <c r="BS97" s="31"/>
      <c r="BT97" s="31"/>
      <c r="BU97" s="31"/>
      <c r="BV97" s="1"/>
      <c r="BW97" s="1"/>
      <c r="BX97" s="1"/>
      <c r="BY97" s="1">
        <f>960000-660000+30000</f>
        <v>330000</v>
      </c>
      <c r="BZ97" s="1"/>
      <c r="CA97" s="1"/>
      <c r="CB97" s="1"/>
      <c r="CC97" s="1"/>
      <c r="CD97" s="1"/>
      <c r="CE97" s="1"/>
      <c r="CF97" s="1">
        <v>700000</v>
      </c>
      <c r="CG97" s="1"/>
      <c r="CH97" s="1"/>
      <c r="CI97" s="1"/>
      <c r="CJ97" s="75"/>
      <c r="CK97" s="75"/>
      <c r="CL97" s="1">
        <f t="shared" si="34"/>
        <v>6846059</v>
      </c>
    </row>
    <row r="98" spans="1:91" ht="74.25" customHeight="1" x14ac:dyDescent="1.05">
      <c r="A98" s="2" t="s">
        <v>83</v>
      </c>
      <c r="B98" s="95" t="s">
        <v>183</v>
      </c>
      <c r="C98" s="95"/>
      <c r="D98" s="44"/>
      <c r="E98" s="44"/>
      <c r="F98" s="44"/>
      <c r="G98" s="44"/>
      <c r="H98" s="44"/>
      <c r="I98" s="44"/>
      <c r="J98" s="44"/>
      <c r="K98" s="62">
        <v>5600</v>
      </c>
      <c r="L98" s="44"/>
      <c r="M98" s="45"/>
      <c r="N98" s="44"/>
      <c r="O98" s="44"/>
      <c r="P98" s="44"/>
      <c r="Q98" s="44"/>
      <c r="R98" s="44"/>
      <c r="S98" s="62">
        <v>200000</v>
      </c>
      <c r="T98" s="44"/>
      <c r="U98" s="44"/>
      <c r="V98" s="44"/>
      <c r="W98" s="1">
        <f t="shared" si="33"/>
        <v>205600</v>
      </c>
      <c r="X98" s="1"/>
      <c r="Y98" s="1">
        <v>2026196</v>
      </c>
      <c r="Z98" s="1"/>
      <c r="AA98" s="76"/>
      <c r="AB98" s="76"/>
      <c r="AC98" s="75"/>
      <c r="AD98" s="75"/>
      <c r="AE98" s="75"/>
      <c r="AF98" s="75"/>
      <c r="AG98" s="75"/>
      <c r="AH98" s="1">
        <f t="shared" si="39"/>
        <v>0</v>
      </c>
      <c r="AI98" s="1"/>
      <c r="AJ98" s="1"/>
      <c r="AK98" s="1"/>
      <c r="AL98" s="1">
        <f t="shared" si="35"/>
        <v>1000000</v>
      </c>
      <c r="AM98" s="1"/>
      <c r="AN98" s="1"/>
      <c r="AO98" s="1"/>
      <c r="AP98" s="1"/>
      <c r="AQ98" s="1">
        <v>1000000</v>
      </c>
      <c r="AR98" s="1">
        <f t="shared" si="36"/>
        <v>0</v>
      </c>
      <c r="AS98" s="1"/>
      <c r="AT98" s="1"/>
      <c r="AU98" s="1">
        <f t="shared" si="32"/>
        <v>173006</v>
      </c>
      <c r="AV98" s="1">
        <f>171893+1113</f>
        <v>173006</v>
      </c>
      <c r="AW98" s="75"/>
      <c r="AX98" s="75"/>
      <c r="AY98" s="61"/>
      <c r="AZ98" s="1"/>
      <c r="BA98" s="1"/>
      <c r="BB98" s="62">
        <v>231220</v>
      </c>
      <c r="BC98" s="62">
        <f t="shared" si="37"/>
        <v>0</v>
      </c>
      <c r="BD98" s="62"/>
      <c r="BE98" s="62"/>
      <c r="BF98" s="1">
        <v>95775</v>
      </c>
      <c r="BG98" s="1">
        <v>95775</v>
      </c>
      <c r="BH98" s="1">
        <f t="shared" si="38"/>
        <v>703483</v>
      </c>
      <c r="BI98" s="1">
        <v>296583</v>
      </c>
      <c r="BJ98" s="1">
        <v>406900</v>
      </c>
      <c r="BK98" s="1"/>
      <c r="BL98" s="1"/>
      <c r="BM98" s="1"/>
      <c r="BN98" s="1"/>
      <c r="BO98" s="1"/>
      <c r="BP98" s="1"/>
      <c r="BQ98" s="1"/>
      <c r="BR98" s="1">
        <v>0</v>
      </c>
      <c r="BS98" s="31"/>
      <c r="BT98" s="31"/>
      <c r="BU98" s="31"/>
      <c r="BV98" s="1">
        <v>7902</v>
      </c>
      <c r="BW98" s="1"/>
      <c r="BX98" s="1"/>
      <c r="BY98" s="1"/>
      <c r="BZ98" s="1"/>
      <c r="CA98" s="1"/>
      <c r="CB98" s="1"/>
      <c r="CC98" s="1"/>
      <c r="CD98" s="1"/>
      <c r="CE98" s="1"/>
      <c r="CF98" s="1">
        <v>690000</v>
      </c>
      <c r="CG98" s="1"/>
      <c r="CH98" s="1"/>
      <c r="CI98" s="1"/>
      <c r="CJ98" s="75"/>
      <c r="CK98" s="75"/>
      <c r="CL98" s="1">
        <f t="shared" si="34"/>
        <v>4927582</v>
      </c>
    </row>
    <row r="99" spans="1:91" ht="74.25" customHeight="1" x14ac:dyDescent="1.05">
      <c r="A99" s="2" t="s">
        <v>88</v>
      </c>
      <c r="B99" s="95" t="s">
        <v>184</v>
      </c>
      <c r="C99" s="95"/>
      <c r="D99" s="44"/>
      <c r="E99" s="44"/>
      <c r="F99" s="44"/>
      <c r="G99" s="44"/>
      <c r="H99" s="44"/>
      <c r="I99" s="44"/>
      <c r="J99" s="44"/>
      <c r="K99" s="62">
        <v>3700</v>
      </c>
      <c r="L99" s="44"/>
      <c r="M99" s="45"/>
      <c r="N99" s="44"/>
      <c r="O99" s="44"/>
      <c r="P99" s="44"/>
      <c r="Q99" s="44"/>
      <c r="R99" s="44"/>
      <c r="S99" s="62"/>
      <c r="T99" s="44"/>
      <c r="U99" s="44"/>
      <c r="V99" s="44"/>
      <c r="W99" s="1">
        <f t="shared" si="33"/>
        <v>3700</v>
      </c>
      <c r="X99" s="1"/>
      <c r="Y99" s="1">
        <v>439312</v>
      </c>
      <c r="Z99" s="1"/>
      <c r="AA99" s="76"/>
      <c r="AB99" s="76"/>
      <c r="AC99" s="75"/>
      <c r="AD99" s="75"/>
      <c r="AE99" s="75"/>
      <c r="AF99" s="75"/>
      <c r="AG99" s="75"/>
      <c r="AH99" s="1">
        <f t="shared" si="39"/>
        <v>0</v>
      </c>
      <c r="AI99" s="1"/>
      <c r="AJ99" s="1"/>
      <c r="AK99" s="1"/>
      <c r="AL99" s="1">
        <f t="shared" si="35"/>
        <v>1000000</v>
      </c>
      <c r="AM99" s="1"/>
      <c r="AN99" s="1"/>
      <c r="AO99" s="1"/>
      <c r="AP99" s="1"/>
      <c r="AQ99" s="1">
        <v>1000000</v>
      </c>
      <c r="AR99" s="1">
        <f t="shared" si="36"/>
        <v>0</v>
      </c>
      <c r="AS99" s="1"/>
      <c r="AT99" s="1"/>
      <c r="AU99" s="1">
        <f t="shared" si="32"/>
        <v>69481</v>
      </c>
      <c r="AV99" s="1">
        <f>69032+449</f>
        <v>69481</v>
      </c>
      <c r="AW99" s="75"/>
      <c r="AX99" s="75"/>
      <c r="AY99" s="61"/>
      <c r="AZ99" s="1"/>
      <c r="BA99" s="1"/>
      <c r="BB99" s="62">
        <v>21020</v>
      </c>
      <c r="BC99" s="62">
        <f t="shared" si="37"/>
        <v>0</v>
      </c>
      <c r="BD99" s="62"/>
      <c r="BE99" s="62"/>
      <c r="BF99" s="1"/>
      <c r="BG99" s="1"/>
      <c r="BH99" s="1">
        <f t="shared" si="38"/>
        <v>0</v>
      </c>
      <c r="BI99" s="1"/>
      <c r="BJ99" s="1">
        <v>0</v>
      </c>
      <c r="BK99" s="1"/>
      <c r="BL99" s="1"/>
      <c r="BM99" s="1"/>
      <c r="BN99" s="1"/>
      <c r="BO99" s="1"/>
      <c r="BP99" s="1"/>
      <c r="BQ99" s="1"/>
      <c r="BR99" s="1">
        <v>0</v>
      </c>
      <c r="BS99" s="31"/>
      <c r="BT99" s="31"/>
      <c r="BU99" s="3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75"/>
      <c r="CK99" s="75"/>
      <c r="CL99" s="1">
        <f t="shared" si="34"/>
        <v>1529813</v>
      </c>
    </row>
    <row r="100" spans="1:91" ht="74.25" customHeight="1" x14ac:dyDescent="1.05">
      <c r="A100" s="2" t="s">
        <v>204</v>
      </c>
      <c r="B100" s="48" t="s">
        <v>198</v>
      </c>
      <c r="C100" s="68"/>
      <c r="D100" s="44"/>
      <c r="E100" s="44"/>
      <c r="F100" s="44"/>
      <c r="G100" s="44"/>
      <c r="H100" s="44"/>
      <c r="I100" s="44"/>
      <c r="J100" s="44"/>
      <c r="K100" s="62">
        <v>2600</v>
      </c>
      <c r="L100" s="44"/>
      <c r="M100" s="45"/>
      <c r="N100" s="44"/>
      <c r="O100" s="44"/>
      <c r="P100" s="44"/>
      <c r="Q100" s="44"/>
      <c r="R100" s="44"/>
      <c r="S100" s="62">
        <v>200000</v>
      </c>
      <c r="T100" s="44"/>
      <c r="U100" s="44"/>
      <c r="V100" s="44"/>
      <c r="W100" s="1">
        <f t="shared" si="33"/>
        <v>202600</v>
      </c>
      <c r="X100" s="1"/>
      <c r="Y100" s="1">
        <v>140895</v>
      </c>
      <c r="Z100" s="1"/>
      <c r="AA100" s="76"/>
      <c r="AB100" s="76"/>
      <c r="AC100" s="75"/>
      <c r="AD100" s="75"/>
      <c r="AE100" s="75"/>
      <c r="AF100" s="75"/>
      <c r="AG100" s="75"/>
      <c r="AH100" s="1">
        <f t="shared" si="39"/>
        <v>0</v>
      </c>
      <c r="AI100" s="1"/>
      <c r="AJ100" s="1"/>
      <c r="AK100" s="1"/>
      <c r="AL100" s="1">
        <f t="shared" si="35"/>
        <v>0</v>
      </c>
      <c r="AM100" s="1"/>
      <c r="AN100" s="1"/>
      <c r="AO100" s="1"/>
      <c r="AP100" s="1"/>
      <c r="AQ100" s="1"/>
      <c r="AR100" s="1">
        <f t="shared" si="36"/>
        <v>0</v>
      </c>
      <c r="AS100" s="1"/>
      <c r="AT100" s="1"/>
      <c r="AU100" s="1">
        <f t="shared" si="32"/>
        <v>115537</v>
      </c>
      <c r="AV100" s="1">
        <f>114768+769</f>
        <v>115537</v>
      </c>
      <c r="AW100" s="75"/>
      <c r="AX100" s="75"/>
      <c r="AY100" s="61"/>
      <c r="AZ100" s="1"/>
      <c r="BA100" s="1"/>
      <c r="BB100" s="62">
        <v>42040</v>
      </c>
      <c r="BC100" s="62">
        <f t="shared" si="37"/>
        <v>0</v>
      </c>
      <c r="BD100" s="62"/>
      <c r="BE100" s="62"/>
      <c r="BF100" s="1"/>
      <c r="BG100" s="1"/>
      <c r="BH100" s="1">
        <f t="shared" si="38"/>
        <v>0</v>
      </c>
      <c r="BI100" s="1"/>
      <c r="BJ100" s="1">
        <v>0</v>
      </c>
      <c r="BK100" s="1"/>
      <c r="BL100" s="1"/>
      <c r="BM100" s="1"/>
      <c r="BN100" s="1"/>
      <c r="BO100" s="1"/>
      <c r="BP100" s="1"/>
      <c r="BQ100" s="1"/>
      <c r="BR100" s="1">
        <v>0</v>
      </c>
      <c r="BS100" s="31"/>
      <c r="BT100" s="31"/>
      <c r="BU100" s="3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75"/>
      <c r="CK100" s="75"/>
      <c r="CL100" s="1">
        <f t="shared" si="34"/>
        <v>298472</v>
      </c>
    </row>
    <row r="101" spans="1:91" ht="74.25" customHeight="1" x14ac:dyDescent="1.05">
      <c r="A101" s="2" t="s">
        <v>89</v>
      </c>
      <c r="B101" s="95" t="s">
        <v>185</v>
      </c>
      <c r="C101" s="95"/>
      <c r="D101" s="44"/>
      <c r="E101" s="44"/>
      <c r="F101" s="44"/>
      <c r="G101" s="44"/>
      <c r="H101" s="44"/>
      <c r="I101" s="44"/>
      <c r="J101" s="44"/>
      <c r="K101" s="62">
        <v>5600</v>
      </c>
      <c r="L101" s="44"/>
      <c r="M101" s="45"/>
      <c r="N101" s="44"/>
      <c r="O101" s="44"/>
      <c r="P101" s="44"/>
      <c r="Q101" s="44"/>
      <c r="R101" s="44"/>
      <c r="S101" s="62"/>
      <c r="T101" s="44"/>
      <c r="U101" s="44"/>
      <c r="V101" s="44"/>
      <c r="W101" s="1">
        <f t="shared" si="33"/>
        <v>5600</v>
      </c>
      <c r="X101" s="1"/>
      <c r="Y101" s="1">
        <v>1456147</v>
      </c>
      <c r="Z101" s="1"/>
      <c r="AA101" s="76"/>
      <c r="AB101" s="76"/>
      <c r="AC101" s="75"/>
      <c r="AD101" s="75"/>
      <c r="AE101" s="75"/>
      <c r="AF101" s="75"/>
      <c r="AG101" s="75"/>
      <c r="AH101" s="1">
        <f t="shared" si="39"/>
        <v>0</v>
      </c>
      <c r="AI101" s="1"/>
      <c r="AJ101" s="1"/>
      <c r="AK101" s="1"/>
      <c r="AL101" s="1">
        <f t="shared" si="35"/>
        <v>0</v>
      </c>
      <c r="AM101" s="1"/>
      <c r="AN101" s="1"/>
      <c r="AO101" s="1"/>
      <c r="AP101" s="1"/>
      <c r="AQ101" s="1"/>
      <c r="AR101" s="1">
        <f t="shared" si="36"/>
        <v>0</v>
      </c>
      <c r="AS101" s="1"/>
      <c r="AT101" s="1"/>
      <c r="AU101" s="1">
        <f t="shared" si="32"/>
        <v>304459</v>
      </c>
      <c r="AV101" s="1">
        <f>302451+2008</f>
        <v>304459</v>
      </c>
      <c r="AW101" s="75"/>
      <c r="AX101" s="75"/>
      <c r="AY101" s="61"/>
      <c r="AZ101" s="1"/>
      <c r="BA101" s="1"/>
      <c r="BB101" s="62">
        <v>294280</v>
      </c>
      <c r="BC101" s="62">
        <f t="shared" si="37"/>
        <v>0</v>
      </c>
      <c r="BD101" s="62"/>
      <c r="BE101" s="62"/>
      <c r="BF101" s="1"/>
      <c r="BG101" s="1"/>
      <c r="BH101" s="1">
        <f t="shared" si="38"/>
        <v>0</v>
      </c>
      <c r="BI101" s="1"/>
      <c r="BJ101" s="1">
        <v>0</v>
      </c>
      <c r="BK101" s="1"/>
      <c r="BL101" s="1"/>
      <c r="BM101" s="1"/>
      <c r="BN101" s="1"/>
      <c r="BO101" s="1"/>
      <c r="BP101" s="1"/>
      <c r="BQ101" s="1"/>
      <c r="BR101" s="1">
        <v>0</v>
      </c>
      <c r="BS101" s="31"/>
      <c r="BT101" s="31"/>
      <c r="BU101" s="31"/>
      <c r="BV101" s="1"/>
      <c r="BW101" s="1"/>
      <c r="BX101" s="1"/>
      <c r="BY101" s="1">
        <f>40000-40000</f>
        <v>0</v>
      </c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75"/>
      <c r="CK101" s="75"/>
      <c r="CL101" s="1">
        <f t="shared" si="34"/>
        <v>2054886</v>
      </c>
    </row>
    <row r="102" spans="1:91" ht="74.25" customHeight="1" x14ac:dyDescent="1.05">
      <c r="A102" s="2" t="s">
        <v>77</v>
      </c>
      <c r="B102" s="95" t="s">
        <v>186</v>
      </c>
      <c r="C102" s="95"/>
      <c r="D102" s="44"/>
      <c r="E102" s="44"/>
      <c r="F102" s="44"/>
      <c r="G102" s="44"/>
      <c r="H102" s="44"/>
      <c r="I102" s="44"/>
      <c r="J102" s="44"/>
      <c r="K102" s="62">
        <v>3700</v>
      </c>
      <c r="L102" s="44"/>
      <c r="M102" s="45"/>
      <c r="N102" s="44"/>
      <c r="O102" s="44"/>
      <c r="P102" s="44"/>
      <c r="Q102" s="44"/>
      <c r="R102" s="44"/>
      <c r="S102" s="62"/>
      <c r="T102" s="44"/>
      <c r="U102" s="44"/>
      <c r="V102" s="44"/>
      <c r="W102" s="1">
        <f t="shared" si="33"/>
        <v>3700</v>
      </c>
      <c r="X102" s="1"/>
      <c r="Y102" s="1">
        <v>1154568</v>
      </c>
      <c r="Z102" s="1"/>
      <c r="AA102" s="76"/>
      <c r="AB102" s="76"/>
      <c r="AC102" s="75"/>
      <c r="AD102" s="75"/>
      <c r="AE102" s="75"/>
      <c r="AF102" s="75"/>
      <c r="AG102" s="75"/>
      <c r="AH102" s="1">
        <f t="shared" si="39"/>
        <v>0</v>
      </c>
      <c r="AI102" s="1"/>
      <c r="AJ102" s="1"/>
      <c r="AK102" s="1"/>
      <c r="AL102" s="1">
        <f t="shared" si="35"/>
        <v>0</v>
      </c>
      <c r="AM102" s="1"/>
      <c r="AN102" s="1"/>
      <c r="AO102" s="1"/>
      <c r="AP102" s="1"/>
      <c r="AQ102" s="1"/>
      <c r="AR102" s="1">
        <f t="shared" si="36"/>
        <v>0</v>
      </c>
      <c r="AS102" s="1"/>
      <c r="AT102" s="1"/>
      <c r="AU102" s="1">
        <f t="shared" si="32"/>
        <v>134212</v>
      </c>
      <c r="AV102" s="1">
        <f>133365+847</f>
        <v>134212</v>
      </c>
      <c r="AW102" s="75"/>
      <c r="AX102" s="75"/>
      <c r="AY102" s="61"/>
      <c r="AZ102" s="1"/>
      <c r="BA102" s="1"/>
      <c r="BB102" s="62">
        <v>168160</v>
      </c>
      <c r="BC102" s="62">
        <f t="shared" si="37"/>
        <v>0</v>
      </c>
      <c r="BD102" s="62"/>
      <c r="BE102" s="62"/>
      <c r="BF102" s="1"/>
      <c r="BG102" s="1"/>
      <c r="BH102" s="1">
        <f t="shared" si="38"/>
        <v>0</v>
      </c>
      <c r="BI102" s="1"/>
      <c r="BJ102" s="1">
        <v>0</v>
      </c>
      <c r="BK102" s="1"/>
      <c r="BL102" s="1"/>
      <c r="BM102" s="1"/>
      <c r="BN102" s="1"/>
      <c r="BO102" s="1"/>
      <c r="BP102" s="1"/>
      <c r="BQ102" s="1"/>
      <c r="BR102" s="1">
        <v>0</v>
      </c>
      <c r="BS102" s="31"/>
      <c r="BT102" s="31"/>
      <c r="BU102" s="31"/>
      <c r="BV102" s="1"/>
      <c r="BW102" s="1"/>
      <c r="BX102" s="1"/>
      <c r="BY102" s="1">
        <v>60000</v>
      </c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75"/>
      <c r="CK102" s="75"/>
      <c r="CL102" s="1">
        <f t="shared" si="34"/>
        <v>1516940</v>
      </c>
    </row>
    <row r="103" spans="1:91" ht="74.25" customHeight="1" x14ac:dyDescent="1.05">
      <c r="A103" s="2" t="s">
        <v>96</v>
      </c>
      <c r="B103" s="95" t="s">
        <v>187</v>
      </c>
      <c r="C103" s="95"/>
      <c r="D103" s="44"/>
      <c r="E103" s="44"/>
      <c r="F103" s="44"/>
      <c r="G103" s="44"/>
      <c r="H103" s="44"/>
      <c r="I103" s="44"/>
      <c r="J103" s="44"/>
      <c r="K103" s="62">
        <v>5300</v>
      </c>
      <c r="L103" s="44"/>
      <c r="M103" s="45"/>
      <c r="N103" s="44"/>
      <c r="O103" s="44"/>
      <c r="P103" s="44"/>
      <c r="Q103" s="44"/>
      <c r="R103" s="44"/>
      <c r="S103" s="62">
        <v>200000</v>
      </c>
      <c r="T103" s="44"/>
      <c r="U103" s="44"/>
      <c r="V103" s="44"/>
      <c r="W103" s="1">
        <f t="shared" si="33"/>
        <v>205300</v>
      </c>
      <c r="X103" s="1"/>
      <c r="Y103" s="1">
        <v>415131</v>
      </c>
      <c r="Z103" s="1"/>
      <c r="AA103" s="76"/>
      <c r="AB103" s="76"/>
      <c r="AC103" s="75"/>
      <c r="AD103" s="75"/>
      <c r="AE103" s="75"/>
      <c r="AF103" s="75"/>
      <c r="AG103" s="75"/>
      <c r="AH103" s="1">
        <f t="shared" si="39"/>
        <v>0</v>
      </c>
      <c r="AI103" s="1"/>
      <c r="AJ103" s="1"/>
      <c r="AK103" s="1"/>
      <c r="AL103" s="1">
        <f t="shared" si="35"/>
        <v>1000000</v>
      </c>
      <c r="AM103" s="1"/>
      <c r="AN103" s="1"/>
      <c r="AO103" s="1"/>
      <c r="AP103" s="1"/>
      <c r="AQ103" s="1">
        <v>1000000</v>
      </c>
      <c r="AR103" s="1">
        <f t="shared" si="36"/>
        <v>0</v>
      </c>
      <c r="AS103" s="1"/>
      <c r="AT103" s="1"/>
      <c r="AU103" s="1">
        <f t="shared" si="32"/>
        <v>249619</v>
      </c>
      <c r="AV103" s="1">
        <f>247979+1640</f>
        <v>249619</v>
      </c>
      <c r="AW103" s="75"/>
      <c r="AX103" s="75"/>
      <c r="AY103" s="61"/>
      <c r="AZ103" s="1"/>
      <c r="BA103" s="1"/>
      <c r="BB103" s="62">
        <v>252240</v>
      </c>
      <c r="BC103" s="62">
        <f t="shared" si="37"/>
        <v>0</v>
      </c>
      <c r="BD103" s="62"/>
      <c r="BE103" s="62"/>
      <c r="BF103" s="1"/>
      <c r="BG103" s="1"/>
      <c r="BH103" s="1">
        <f t="shared" si="38"/>
        <v>0</v>
      </c>
      <c r="BI103" s="1"/>
      <c r="BJ103" s="1">
        <v>0</v>
      </c>
      <c r="BK103" s="1"/>
      <c r="BL103" s="1"/>
      <c r="BM103" s="1"/>
      <c r="BN103" s="1"/>
      <c r="BO103" s="1"/>
      <c r="BP103" s="1"/>
      <c r="BQ103" s="1"/>
      <c r="BR103" s="1">
        <v>0</v>
      </c>
      <c r="BS103" s="31"/>
      <c r="BT103" s="31"/>
      <c r="BU103" s="31"/>
      <c r="BV103" s="1"/>
      <c r="BW103" s="1"/>
      <c r="BX103" s="1"/>
      <c r="BY103" s="1">
        <v>80000</v>
      </c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75"/>
      <c r="CK103" s="75"/>
      <c r="CL103" s="1">
        <f t="shared" si="34"/>
        <v>1996990</v>
      </c>
    </row>
    <row r="104" spans="1:91" ht="74.25" customHeight="1" x14ac:dyDescent="1.05">
      <c r="A104" s="2" t="s">
        <v>97</v>
      </c>
      <c r="B104" s="95" t="s">
        <v>188</v>
      </c>
      <c r="C104" s="95"/>
      <c r="D104" s="44"/>
      <c r="E104" s="44"/>
      <c r="F104" s="44"/>
      <c r="G104" s="44"/>
      <c r="H104" s="44"/>
      <c r="I104" s="44"/>
      <c r="J104" s="44"/>
      <c r="K104" s="62">
        <v>21100</v>
      </c>
      <c r="L104" s="44"/>
      <c r="M104" s="45"/>
      <c r="N104" s="44"/>
      <c r="O104" s="44"/>
      <c r="P104" s="44"/>
      <c r="Q104" s="44"/>
      <c r="R104" s="44"/>
      <c r="S104" s="62">
        <v>200000</v>
      </c>
      <c r="T104" s="44"/>
      <c r="U104" s="44"/>
      <c r="V104" s="44"/>
      <c r="W104" s="1">
        <f t="shared" si="33"/>
        <v>221100</v>
      </c>
      <c r="X104" s="1"/>
      <c r="Y104" s="1">
        <v>5878794</v>
      </c>
      <c r="Z104" s="1"/>
      <c r="AA104" s="76"/>
      <c r="AB104" s="76"/>
      <c r="AC104" s="75"/>
      <c r="AD104" s="75"/>
      <c r="AE104" s="75"/>
      <c r="AF104" s="75"/>
      <c r="AG104" s="75"/>
      <c r="AH104" s="1">
        <f t="shared" si="39"/>
        <v>0</v>
      </c>
      <c r="AI104" s="1"/>
      <c r="AJ104" s="1"/>
      <c r="AK104" s="1"/>
      <c r="AL104" s="1">
        <f t="shared" si="35"/>
        <v>79800</v>
      </c>
      <c r="AM104" s="1"/>
      <c r="AN104" s="1"/>
      <c r="AO104" s="1">
        <v>79800</v>
      </c>
      <c r="AP104" s="1"/>
      <c r="AQ104" s="1"/>
      <c r="AR104" s="1">
        <f t="shared" si="36"/>
        <v>251907</v>
      </c>
      <c r="AS104" s="1">
        <f>167924+9583</f>
        <v>177507</v>
      </c>
      <c r="AT104" s="1">
        <f>88648-14248</f>
        <v>74400</v>
      </c>
      <c r="AU104" s="1">
        <f t="shared" si="32"/>
        <v>734163</v>
      </c>
      <c r="AV104" s="1">
        <f>729415+4748</f>
        <v>734163</v>
      </c>
      <c r="AW104" s="75"/>
      <c r="AX104" s="75"/>
      <c r="AY104" s="61"/>
      <c r="AZ104" s="1"/>
      <c r="BA104" s="1"/>
      <c r="BB104" s="62">
        <v>945900</v>
      </c>
      <c r="BC104" s="62">
        <f t="shared" si="37"/>
        <v>0</v>
      </c>
      <c r="BD104" s="62"/>
      <c r="BE104" s="62"/>
      <c r="BF104" s="1">
        <f>89747-89747</f>
        <v>0</v>
      </c>
      <c r="BG104" s="1">
        <f>89747-89747</f>
        <v>0</v>
      </c>
      <c r="BH104" s="1">
        <f t="shared" si="38"/>
        <v>0</v>
      </c>
      <c r="BI104" s="1"/>
      <c r="BJ104" s="1">
        <v>0</v>
      </c>
      <c r="BK104" s="1"/>
      <c r="BL104" s="1"/>
      <c r="BM104" s="1"/>
      <c r="BN104" s="1"/>
      <c r="BO104" s="1"/>
      <c r="BP104" s="1"/>
      <c r="BQ104" s="1"/>
      <c r="BR104" s="1">
        <v>0</v>
      </c>
      <c r="BS104" s="31"/>
      <c r="BT104" s="31"/>
      <c r="BU104" s="31"/>
      <c r="BV104" s="1"/>
      <c r="BW104" s="1"/>
      <c r="BX104" s="1"/>
      <c r="BY104" s="1">
        <v>380000</v>
      </c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75"/>
      <c r="CK104" s="75"/>
      <c r="CL104" s="1">
        <f t="shared" si="34"/>
        <v>8270564</v>
      </c>
    </row>
    <row r="105" spans="1:91" ht="74.25" customHeight="1" x14ac:dyDescent="1.05">
      <c r="A105" s="2" t="s">
        <v>98</v>
      </c>
      <c r="B105" s="95" t="s">
        <v>189</v>
      </c>
      <c r="C105" s="95"/>
      <c r="D105" s="44"/>
      <c r="E105" s="44"/>
      <c r="F105" s="44"/>
      <c r="G105" s="44"/>
      <c r="H105" s="44"/>
      <c r="I105" s="44"/>
      <c r="J105" s="44"/>
      <c r="K105" s="62">
        <v>19100</v>
      </c>
      <c r="L105" s="44"/>
      <c r="M105" s="45">
        <v>100000</v>
      </c>
      <c r="N105" s="44"/>
      <c r="O105" s="44"/>
      <c r="P105" s="44"/>
      <c r="Q105" s="44"/>
      <c r="R105" s="44"/>
      <c r="S105" s="62">
        <v>200000</v>
      </c>
      <c r="T105" s="44"/>
      <c r="U105" s="44"/>
      <c r="V105" s="44"/>
      <c r="W105" s="1">
        <f t="shared" si="33"/>
        <v>319100</v>
      </c>
      <c r="X105" s="1"/>
      <c r="Y105" s="1">
        <v>4695832</v>
      </c>
      <c r="Z105" s="1"/>
      <c r="AA105" s="76"/>
      <c r="AB105" s="76"/>
      <c r="AC105" s="75"/>
      <c r="AD105" s="75"/>
      <c r="AE105" s="75"/>
      <c r="AF105" s="75"/>
      <c r="AG105" s="75"/>
      <c r="AH105" s="1">
        <f t="shared" si="39"/>
        <v>0</v>
      </c>
      <c r="AI105" s="1"/>
      <c r="AJ105" s="1"/>
      <c r="AK105" s="1"/>
      <c r="AL105" s="1">
        <f t="shared" si="35"/>
        <v>0</v>
      </c>
      <c r="AM105" s="1"/>
      <c r="AN105" s="1"/>
      <c r="AO105" s="1"/>
      <c r="AP105" s="1"/>
      <c r="AQ105" s="1"/>
      <c r="AR105" s="1">
        <f t="shared" si="36"/>
        <v>148400</v>
      </c>
      <c r="AS105" s="1">
        <f>100058+4942</f>
        <v>105000</v>
      </c>
      <c r="AT105" s="1">
        <f>53011-9611</f>
        <v>43400</v>
      </c>
      <c r="AU105" s="1">
        <f t="shared" si="32"/>
        <v>687248</v>
      </c>
      <c r="AV105" s="1">
        <f>682852+4396</f>
        <v>687248</v>
      </c>
      <c r="AW105" s="75"/>
      <c r="AX105" s="75"/>
      <c r="AY105" s="61"/>
      <c r="AZ105" s="1"/>
      <c r="BA105" s="1"/>
      <c r="BB105" s="62">
        <v>483460</v>
      </c>
      <c r="BC105" s="62">
        <f t="shared" si="37"/>
        <v>0</v>
      </c>
      <c r="BD105" s="62"/>
      <c r="BE105" s="62"/>
      <c r="BF105" s="1"/>
      <c r="BG105" s="1"/>
      <c r="BH105" s="1">
        <f t="shared" si="38"/>
        <v>0</v>
      </c>
      <c r="BI105" s="1"/>
      <c r="BJ105" s="1">
        <v>0</v>
      </c>
      <c r="BK105" s="1"/>
      <c r="BL105" s="1"/>
      <c r="BM105" s="1"/>
      <c r="BN105" s="1"/>
      <c r="BO105" s="1"/>
      <c r="BP105" s="1"/>
      <c r="BQ105" s="1"/>
      <c r="BR105" s="1">
        <v>0</v>
      </c>
      <c r="BS105" s="31"/>
      <c r="BT105" s="31"/>
      <c r="BU105" s="31"/>
      <c r="BV105" s="1"/>
      <c r="BW105" s="1"/>
      <c r="BX105" s="1"/>
      <c r="BY105" s="1">
        <v>70000</v>
      </c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75"/>
      <c r="CK105" s="75"/>
      <c r="CL105" s="1">
        <f t="shared" si="34"/>
        <v>6084940</v>
      </c>
    </row>
    <row r="106" spans="1:91" ht="74.25" customHeight="1" x14ac:dyDescent="1.05">
      <c r="A106" s="2" t="s">
        <v>205</v>
      </c>
      <c r="B106" s="95" t="s">
        <v>203</v>
      </c>
      <c r="C106" s="95"/>
      <c r="D106" s="44"/>
      <c r="E106" s="44"/>
      <c r="F106" s="44"/>
      <c r="G106" s="44"/>
      <c r="H106" s="44"/>
      <c r="I106" s="44"/>
      <c r="J106" s="44"/>
      <c r="K106" s="62">
        <v>4700</v>
      </c>
      <c r="L106" s="44"/>
      <c r="M106" s="45"/>
      <c r="N106" s="44"/>
      <c r="O106" s="44"/>
      <c r="P106" s="44"/>
      <c r="Q106" s="44"/>
      <c r="R106" s="44"/>
      <c r="S106" s="62">
        <v>200000</v>
      </c>
      <c r="T106" s="44"/>
      <c r="U106" s="44"/>
      <c r="V106" s="44"/>
      <c r="W106" s="1">
        <f t="shared" si="33"/>
        <v>204700</v>
      </c>
      <c r="X106" s="1"/>
      <c r="Y106" s="1"/>
      <c r="Z106" s="1"/>
      <c r="AA106" s="76"/>
      <c r="AB106" s="76"/>
      <c r="AC106" s="75"/>
      <c r="AD106" s="75"/>
      <c r="AE106" s="75"/>
      <c r="AF106" s="75"/>
      <c r="AG106" s="75"/>
      <c r="AH106" s="1">
        <f t="shared" si="39"/>
        <v>0</v>
      </c>
      <c r="AI106" s="1"/>
      <c r="AJ106" s="1"/>
      <c r="AK106" s="1"/>
      <c r="AL106" s="1">
        <f t="shared" si="35"/>
        <v>0</v>
      </c>
      <c r="AM106" s="1"/>
      <c r="AN106" s="1"/>
      <c r="AO106" s="1"/>
      <c r="AP106" s="1"/>
      <c r="AQ106" s="1"/>
      <c r="AR106" s="1">
        <f t="shared" si="36"/>
        <v>0</v>
      </c>
      <c r="AS106" s="1"/>
      <c r="AT106" s="1"/>
      <c r="AU106" s="1">
        <f t="shared" si="32"/>
        <v>179708</v>
      </c>
      <c r="AV106" s="1">
        <f>178534+1174</f>
        <v>179708</v>
      </c>
      <c r="AW106" s="75"/>
      <c r="AX106" s="75"/>
      <c r="AY106" s="61"/>
      <c r="AZ106" s="1"/>
      <c r="BA106" s="1"/>
      <c r="BB106" s="62">
        <v>126120</v>
      </c>
      <c r="BC106" s="62">
        <f t="shared" si="37"/>
        <v>0</v>
      </c>
      <c r="BD106" s="62"/>
      <c r="BE106" s="62"/>
      <c r="BF106" s="1"/>
      <c r="BG106" s="1"/>
      <c r="BH106" s="1">
        <f t="shared" si="38"/>
        <v>0</v>
      </c>
      <c r="BI106" s="1"/>
      <c r="BJ106" s="1">
        <v>0</v>
      </c>
      <c r="BK106" s="1"/>
      <c r="BL106" s="1"/>
      <c r="BM106" s="1"/>
      <c r="BN106" s="1"/>
      <c r="BO106" s="1"/>
      <c r="BP106" s="1"/>
      <c r="BQ106" s="1"/>
      <c r="BR106" s="1">
        <v>0</v>
      </c>
      <c r="BS106" s="31"/>
      <c r="BT106" s="31"/>
      <c r="BU106" s="3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75"/>
      <c r="CK106" s="75"/>
      <c r="CL106" s="1">
        <f t="shared" si="34"/>
        <v>305828</v>
      </c>
    </row>
    <row r="107" spans="1:91" ht="74.25" customHeight="1" x14ac:dyDescent="1.05">
      <c r="A107" s="2" t="s">
        <v>221</v>
      </c>
      <c r="B107" s="95" t="s">
        <v>222</v>
      </c>
      <c r="C107" s="95"/>
      <c r="D107" s="44"/>
      <c r="E107" s="44"/>
      <c r="F107" s="44"/>
      <c r="G107" s="44"/>
      <c r="H107" s="44"/>
      <c r="I107" s="44"/>
      <c r="J107" s="44"/>
      <c r="K107" s="62">
        <v>20000</v>
      </c>
      <c r="L107" s="44"/>
      <c r="M107" s="45"/>
      <c r="N107" s="44"/>
      <c r="O107" s="44"/>
      <c r="P107" s="1">
        <v>119330</v>
      </c>
      <c r="Q107" s="1"/>
      <c r="R107" s="1"/>
      <c r="S107" s="62"/>
      <c r="T107" s="1">
        <v>30670</v>
      </c>
      <c r="U107" s="1"/>
      <c r="V107" s="1"/>
      <c r="W107" s="1">
        <f t="shared" si="33"/>
        <v>170000</v>
      </c>
      <c r="X107" s="1"/>
      <c r="Y107" s="1">
        <v>10501528</v>
      </c>
      <c r="Z107" s="1"/>
      <c r="AA107" s="76"/>
      <c r="AB107" s="76"/>
      <c r="AC107" s="75"/>
      <c r="AD107" s="75"/>
      <c r="AE107" s="75"/>
      <c r="AF107" s="75"/>
      <c r="AG107" s="75"/>
      <c r="AH107" s="1">
        <f t="shared" si="39"/>
        <v>1403282</v>
      </c>
      <c r="AI107" s="1">
        <v>1403282</v>
      </c>
      <c r="AJ107" s="1"/>
      <c r="AK107" s="1"/>
      <c r="AL107" s="1">
        <f t="shared" si="35"/>
        <v>79800</v>
      </c>
      <c r="AM107" s="1"/>
      <c r="AN107" s="1"/>
      <c r="AO107" s="1">
        <v>79800</v>
      </c>
      <c r="AP107" s="1"/>
      <c r="AQ107" s="1"/>
      <c r="AR107" s="1">
        <f t="shared" si="36"/>
        <v>915349</v>
      </c>
      <c r="AS107" s="1">
        <f>603708+38841</f>
        <v>642549</v>
      </c>
      <c r="AT107" s="1">
        <f>317616-44816</f>
        <v>272800</v>
      </c>
      <c r="AU107" s="1">
        <f t="shared" si="32"/>
        <v>900252</v>
      </c>
      <c r="AV107" s="1">
        <f>1150207-249955</f>
        <v>900252</v>
      </c>
      <c r="AW107" s="75"/>
      <c r="AX107" s="75"/>
      <c r="AY107" s="61"/>
      <c r="AZ107" s="1"/>
      <c r="BA107" s="1"/>
      <c r="BB107" s="62">
        <v>1534460</v>
      </c>
      <c r="BC107" s="62">
        <f t="shared" si="37"/>
        <v>0</v>
      </c>
      <c r="BD107" s="62"/>
      <c r="BE107" s="62"/>
      <c r="BF107" s="1">
        <v>312584</v>
      </c>
      <c r="BG107" s="1">
        <v>312584</v>
      </c>
      <c r="BH107" s="1">
        <f t="shared" si="38"/>
        <v>1173168</v>
      </c>
      <c r="BI107" s="1">
        <v>967968</v>
      </c>
      <c r="BJ107" s="1">
        <v>205200</v>
      </c>
      <c r="BK107" s="1"/>
      <c r="BL107" s="1"/>
      <c r="BM107" s="1"/>
      <c r="BN107" s="1"/>
      <c r="BO107" s="1"/>
      <c r="BP107" s="1"/>
      <c r="BQ107" s="1"/>
      <c r="BR107" s="1">
        <v>0</v>
      </c>
      <c r="BS107" s="31"/>
      <c r="BT107" s="31"/>
      <c r="BU107" s="31"/>
      <c r="BV107" s="1"/>
      <c r="BW107" s="1"/>
      <c r="BX107" s="1">
        <v>17142</v>
      </c>
      <c r="BY107" s="1">
        <v>1000000</v>
      </c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75"/>
      <c r="CK107" s="75"/>
      <c r="CL107" s="1">
        <f t="shared" si="34"/>
        <v>17837565</v>
      </c>
    </row>
    <row r="108" spans="1:91" ht="74.25" customHeight="1" x14ac:dyDescent="1.05">
      <c r="A108" s="2" t="s">
        <v>223</v>
      </c>
      <c r="B108" s="95" t="s">
        <v>224</v>
      </c>
      <c r="C108" s="95"/>
      <c r="D108" s="44"/>
      <c r="E108" s="44"/>
      <c r="F108" s="44"/>
      <c r="G108" s="44"/>
      <c r="H108" s="44"/>
      <c r="I108" s="44"/>
      <c r="J108" s="44"/>
      <c r="K108" s="62">
        <v>44000</v>
      </c>
      <c r="L108" s="44"/>
      <c r="M108" s="45">
        <v>230200</v>
      </c>
      <c r="N108" s="44"/>
      <c r="O108" s="44"/>
      <c r="P108" s="44"/>
      <c r="Q108" s="44"/>
      <c r="R108" s="44"/>
      <c r="S108" s="62"/>
      <c r="T108" s="44"/>
      <c r="U108" s="44"/>
      <c r="V108" s="44"/>
      <c r="W108" s="1">
        <f t="shared" ref="W108:W109" si="40">SUM(D108:T108)+V108+U108</f>
        <v>274200</v>
      </c>
      <c r="X108" s="1"/>
      <c r="Y108" s="1">
        <v>8395527</v>
      </c>
      <c r="Z108" s="1"/>
      <c r="AA108" s="76"/>
      <c r="AB108" s="76"/>
      <c r="AC108" s="75"/>
      <c r="AD108" s="75"/>
      <c r="AE108" s="75"/>
      <c r="AF108" s="75"/>
      <c r="AG108" s="75"/>
      <c r="AH108" s="1">
        <f t="shared" si="39"/>
        <v>1140305</v>
      </c>
      <c r="AI108" s="1">
        <v>1140305</v>
      </c>
      <c r="AJ108" s="1"/>
      <c r="AK108" s="1"/>
      <c r="AL108" s="1">
        <f t="shared" si="35"/>
        <v>159600</v>
      </c>
      <c r="AM108" s="1"/>
      <c r="AN108" s="1"/>
      <c r="AO108" s="1">
        <v>159600</v>
      </c>
      <c r="AP108" s="1"/>
      <c r="AQ108" s="1"/>
      <c r="AR108" s="1">
        <f t="shared" si="36"/>
        <v>607321</v>
      </c>
      <c r="AS108" s="1">
        <f>403714+23807</f>
        <v>427521</v>
      </c>
      <c r="AT108" s="1">
        <f>212933-33133</f>
        <v>179800</v>
      </c>
      <c r="AU108" s="1">
        <f t="shared" si="32"/>
        <v>677948</v>
      </c>
      <c r="AV108" s="1">
        <f>774957-168442+71433</f>
        <v>677948</v>
      </c>
      <c r="AW108" s="75"/>
      <c r="AX108" s="75"/>
      <c r="AY108" s="61"/>
      <c r="AZ108" s="1"/>
      <c r="BA108" s="1"/>
      <c r="BB108" s="62">
        <v>1029980</v>
      </c>
      <c r="BC108" s="62">
        <f t="shared" si="37"/>
        <v>0</v>
      </c>
      <c r="BD108" s="62"/>
      <c r="BE108" s="62"/>
      <c r="BF108" s="1">
        <v>294692</v>
      </c>
      <c r="BG108" s="1">
        <v>294692</v>
      </c>
      <c r="BH108" s="1">
        <f t="shared" si="38"/>
        <v>2043263</v>
      </c>
      <c r="BI108" s="1">
        <v>912563</v>
      </c>
      <c r="BJ108" s="1">
        <v>1130700</v>
      </c>
      <c r="BK108" s="1"/>
      <c r="BL108" s="1"/>
      <c r="BM108" s="1"/>
      <c r="BN108" s="1"/>
      <c r="BO108" s="1"/>
      <c r="BP108" s="1"/>
      <c r="BQ108" s="1"/>
      <c r="BR108" s="1">
        <v>0</v>
      </c>
      <c r="BS108" s="31"/>
      <c r="BT108" s="31"/>
      <c r="BU108" s="31"/>
      <c r="BV108" s="1"/>
      <c r="BW108" s="1"/>
      <c r="BX108" s="1">
        <v>26372</v>
      </c>
      <c r="BY108" s="1">
        <v>1010000</v>
      </c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75"/>
      <c r="CK108" s="75"/>
      <c r="CL108" s="1">
        <f t="shared" ref="CL108:CL114" si="41">SUM(X108:CK108)-AI108-AJ108-AK108-AM108-AN108-AO108-AP108-AQ108-AS108-AT108-AV108-AW108-AY108-BG108-BI108-BJ108-BM108-BC108</f>
        <v>15385008</v>
      </c>
    </row>
    <row r="109" spans="1:91" ht="78" customHeight="1" x14ac:dyDescent="0.95">
      <c r="A109" s="2"/>
      <c r="B109" s="95" t="s">
        <v>192</v>
      </c>
      <c r="C109" s="95"/>
      <c r="D109" s="1">
        <f t="shared" ref="D109:V109" si="42">SUM(D47:D108)</f>
        <v>0</v>
      </c>
      <c r="E109" s="1">
        <f t="shared" si="42"/>
        <v>0</v>
      </c>
      <c r="F109" s="1">
        <f t="shared" si="42"/>
        <v>0</v>
      </c>
      <c r="G109" s="1">
        <f t="shared" ref="G109" si="43">SUM(G47:G108)</f>
        <v>0</v>
      </c>
      <c r="H109" s="1">
        <f t="shared" si="42"/>
        <v>20060000</v>
      </c>
      <c r="I109" s="1">
        <f t="shared" si="42"/>
        <v>33650000</v>
      </c>
      <c r="J109" s="1">
        <f t="shared" si="42"/>
        <v>0</v>
      </c>
      <c r="K109" s="1">
        <f t="shared" si="42"/>
        <v>511800</v>
      </c>
      <c r="L109" s="1">
        <f t="shared" si="42"/>
        <v>0</v>
      </c>
      <c r="M109" s="62">
        <f t="shared" si="42"/>
        <v>620200</v>
      </c>
      <c r="N109" s="1">
        <f t="shared" si="42"/>
        <v>0</v>
      </c>
      <c r="O109" s="1">
        <f t="shared" si="42"/>
        <v>0</v>
      </c>
      <c r="P109" s="1">
        <f t="shared" si="42"/>
        <v>119330</v>
      </c>
      <c r="Q109" s="1">
        <f t="shared" si="42"/>
        <v>0</v>
      </c>
      <c r="R109" s="1">
        <f t="shared" si="42"/>
        <v>600000</v>
      </c>
      <c r="S109" s="1">
        <f t="shared" si="42"/>
        <v>4600000</v>
      </c>
      <c r="T109" s="1">
        <f t="shared" si="42"/>
        <v>30670</v>
      </c>
      <c r="U109" s="1">
        <f t="shared" si="42"/>
        <v>0</v>
      </c>
      <c r="V109" s="1">
        <f t="shared" si="42"/>
        <v>0</v>
      </c>
      <c r="W109" s="1">
        <f t="shared" si="40"/>
        <v>60192000</v>
      </c>
      <c r="X109" s="1">
        <f t="shared" ref="X109:BE109" si="44">SUM(X47:X108)</f>
        <v>0</v>
      </c>
      <c r="Y109" s="1">
        <f t="shared" si="44"/>
        <v>145184505</v>
      </c>
      <c r="Z109" s="1">
        <f t="shared" ref="Z109" si="45">SUM(Z47:Z108)</f>
        <v>0</v>
      </c>
      <c r="AA109" s="76">
        <f>SUM(AA47:AB108)</f>
        <v>0</v>
      </c>
      <c r="AB109" s="76"/>
      <c r="AC109" s="76">
        <f>SUM(AC47:AC108)</f>
        <v>0</v>
      </c>
      <c r="AD109" s="76"/>
      <c r="AE109" s="76"/>
      <c r="AF109" s="76">
        <f>SUM(AF47:AG108)</f>
        <v>0</v>
      </c>
      <c r="AG109" s="76"/>
      <c r="AH109" s="1">
        <f t="shared" si="44"/>
        <v>11714728</v>
      </c>
      <c r="AI109" s="1">
        <f t="shared" si="44"/>
        <v>11714728</v>
      </c>
      <c r="AJ109" s="1">
        <f t="shared" si="44"/>
        <v>0</v>
      </c>
      <c r="AK109" s="1">
        <f t="shared" si="44"/>
        <v>0</v>
      </c>
      <c r="AL109" s="1">
        <f t="shared" si="44"/>
        <v>13218507.93</v>
      </c>
      <c r="AM109" s="1">
        <f t="shared" si="44"/>
        <v>27242.65</v>
      </c>
      <c r="AN109" s="1">
        <f t="shared" si="44"/>
        <v>49779.77</v>
      </c>
      <c r="AO109" s="1">
        <f t="shared" si="44"/>
        <v>319200</v>
      </c>
      <c r="AP109" s="1">
        <f t="shared" si="44"/>
        <v>35885.51</v>
      </c>
      <c r="AQ109" s="1">
        <f t="shared" si="44"/>
        <v>12786400</v>
      </c>
      <c r="AR109" s="1">
        <f t="shared" si="44"/>
        <v>8259322</v>
      </c>
      <c r="AS109" s="1">
        <f t="shared" si="44"/>
        <v>5810322</v>
      </c>
      <c r="AT109" s="1">
        <f t="shared" si="44"/>
        <v>2449000</v>
      </c>
      <c r="AU109" s="1">
        <f t="shared" si="44"/>
        <v>18198656</v>
      </c>
      <c r="AV109" s="1">
        <f t="shared" si="44"/>
        <v>18023831</v>
      </c>
      <c r="AW109" s="76">
        <f>SUM(AW47:AX108)</f>
        <v>174825</v>
      </c>
      <c r="AX109" s="76"/>
      <c r="AY109" s="1">
        <f t="shared" si="44"/>
        <v>0</v>
      </c>
      <c r="AZ109" s="1">
        <f t="shared" si="44"/>
        <v>0</v>
      </c>
      <c r="BA109" s="1"/>
      <c r="BB109" s="1">
        <f t="shared" si="44"/>
        <v>18896980</v>
      </c>
      <c r="BC109" s="1">
        <f>BD109+BE109</f>
        <v>54444.630000000005</v>
      </c>
      <c r="BD109" s="1">
        <f t="shared" si="44"/>
        <v>32600.63</v>
      </c>
      <c r="BE109" s="1">
        <f t="shared" si="44"/>
        <v>21844</v>
      </c>
      <c r="BF109" s="1">
        <f>SUM(BF47:BF108)</f>
        <v>3168993</v>
      </c>
      <c r="BG109" s="1">
        <f t="shared" ref="BG109:CI109" si="46">SUM(BG47:BG108)</f>
        <v>3168993</v>
      </c>
      <c r="BH109" s="1">
        <f t="shared" si="38"/>
        <v>16540416</v>
      </c>
      <c r="BI109" s="1">
        <f t="shared" si="46"/>
        <v>9813316</v>
      </c>
      <c r="BJ109" s="1">
        <f t="shared" si="46"/>
        <v>6727100</v>
      </c>
      <c r="BK109" s="1">
        <f t="shared" si="46"/>
        <v>0</v>
      </c>
      <c r="BL109" s="1">
        <f t="shared" si="46"/>
        <v>0</v>
      </c>
      <c r="BM109" s="1">
        <f t="shared" si="46"/>
        <v>0</v>
      </c>
      <c r="BN109" s="1">
        <f t="shared" si="46"/>
        <v>0</v>
      </c>
      <c r="BO109" s="1">
        <f t="shared" ref="BO109" si="47">SUM(BO47:BO108)</f>
        <v>0</v>
      </c>
      <c r="BP109" s="1">
        <f t="shared" si="46"/>
        <v>0</v>
      </c>
      <c r="BQ109" s="1">
        <f t="shared" si="46"/>
        <v>0</v>
      </c>
      <c r="BR109" s="1">
        <v>0</v>
      </c>
      <c r="BS109" s="1">
        <f t="shared" si="46"/>
        <v>0</v>
      </c>
      <c r="BT109" s="1">
        <f t="shared" si="46"/>
        <v>0</v>
      </c>
      <c r="BU109" s="1"/>
      <c r="BV109" s="1">
        <f t="shared" si="46"/>
        <v>74020</v>
      </c>
      <c r="BW109" s="1">
        <f t="shared" si="46"/>
        <v>0</v>
      </c>
      <c r="BX109" s="1">
        <f t="shared" ref="BX109" si="48">SUM(BX47:BX108)</f>
        <v>43514</v>
      </c>
      <c r="BY109" s="1">
        <f t="shared" si="46"/>
        <v>10058000</v>
      </c>
      <c r="BZ109" s="1">
        <f t="shared" si="46"/>
        <v>0</v>
      </c>
      <c r="CA109" s="1">
        <f t="shared" si="46"/>
        <v>0</v>
      </c>
      <c r="CB109" s="1">
        <f t="shared" si="46"/>
        <v>70000</v>
      </c>
      <c r="CC109" s="1">
        <f t="shared" si="46"/>
        <v>100000</v>
      </c>
      <c r="CD109" s="1">
        <f t="shared" si="46"/>
        <v>0</v>
      </c>
      <c r="CE109" s="1">
        <f t="shared" si="46"/>
        <v>2000000</v>
      </c>
      <c r="CF109" s="1">
        <f t="shared" si="46"/>
        <v>5900000</v>
      </c>
      <c r="CG109" s="1">
        <f t="shared" si="46"/>
        <v>0</v>
      </c>
      <c r="CH109" s="1">
        <f t="shared" si="46"/>
        <v>0</v>
      </c>
      <c r="CI109" s="1">
        <f t="shared" si="46"/>
        <v>0</v>
      </c>
      <c r="CJ109" s="75"/>
      <c r="CK109" s="75"/>
      <c r="CL109" s="1">
        <f t="shared" si="41"/>
        <v>253482086.56000006</v>
      </c>
    </row>
    <row r="110" spans="1:91" ht="78" customHeight="1" x14ac:dyDescent="0.95">
      <c r="A110" s="2" t="s">
        <v>237</v>
      </c>
      <c r="B110" s="73" t="s">
        <v>238</v>
      </c>
      <c r="C110" s="74"/>
      <c r="D110" s="1">
        <v>1769000</v>
      </c>
      <c r="E110" s="1"/>
      <c r="F110" s="44"/>
      <c r="G110" s="44"/>
      <c r="H110" s="44"/>
      <c r="I110" s="1"/>
      <c r="J110" s="1"/>
      <c r="K110" s="1"/>
      <c r="L110" s="1">
        <f>1959400+3530000</f>
        <v>5489400</v>
      </c>
      <c r="M110" s="62"/>
      <c r="N110" s="1"/>
      <c r="O110" s="1"/>
      <c r="P110" s="1"/>
      <c r="Q110" s="1"/>
      <c r="R110" s="1"/>
      <c r="S110" s="1"/>
      <c r="T110" s="1"/>
      <c r="U110" s="1"/>
      <c r="V110" s="1"/>
      <c r="W110" s="1">
        <f>SUM(D110:T110)+V110</f>
        <v>7258400</v>
      </c>
      <c r="X110" s="1"/>
      <c r="Y110" s="1"/>
      <c r="Z110" s="1"/>
      <c r="AA110" s="76"/>
      <c r="AB110" s="76"/>
      <c r="AC110" s="75"/>
      <c r="AD110" s="75"/>
      <c r="AE110" s="75"/>
      <c r="AF110" s="75"/>
      <c r="AG110" s="75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75"/>
      <c r="AX110" s="75"/>
      <c r="AY110" s="61"/>
      <c r="AZ110" s="1"/>
      <c r="BA110" s="1"/>
      <c r="BB110" s="1"/>
      <c r="BC110" s="62">
        <f t="shared" si="37"/>
        <v>0</v>
      </c>
      <c r="BD110" s="1"/>
      <c r="BE110" s="1"/>
      <c r="BF110" s="1"/>
      <c r="BG110" s="1"/>
      <c r="BH110" s="1">
        <f t="shared" si="38"/>
        <v>0</v>
      </c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75"/>
      <c r="CK110" s="75"/>
      <c r="CL110" s="1">
        <f t="shared" si="41"/>
        <v>0</v>
      </c>
    </row>
    <row r="111" spans="1:91" ht="78" customHeight="1" x14ac:dyDescent="0.95">
      <c r="A111" s="2" t="s">
        <v>242</v>
      </c>
      <c r="B111" s="73" t="s">
        <v>243</v>
      </c>
      <c r="C111" s="74"/>
      <c r="D111" s="1"/>
      <c r="E111" s="1"/>
      <c r="F111" s="1">
        <v>90000</v>
      </c>
      <c r="G111" s="1"/>
      <c r="H111" s="1"/>
      <c r="I111" s="1"/>
      <c r="J111" s="1"/>
      <c r="K111" s="1"/>
      <c r="L111" s="1"/>
      <c r="M111" s="62"/>
      <c r="N111" s="1"/>
      <c r="O111" s="1"/>
      <c r="P111" s="1"/>
      <c r="Q111" s="1"/>
      <c r="R111" s="1"/>
      <c r="S111" s="1"/>
      <c r="T111" s="1"/>
      <c r="U111" s="1"/>
      <c r="V111" s="1"/>
      <c r="W111" s="1">
        <f>SUM(D111:T111)+V111</f>
        <v>90000</v>
      </c>
      <c r="X111" s="1"/>
      <c r="Y111" s="1"/>
      <c r="Z111" s="1"/>
      <c r="AA111" s="76"/>
      <c r="AB111" s="76"/>
      <c r="AC111" s="75"/>
      <c r="AD111" s="75"/>
      <c r="AE111" s="75"/>
      <c r="AF111" s="75"/>
      <c r="AG111" s="75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75"/>
      <c r="AX111" s="75"/>
      <c r="AY111" s="61"/>
      <c r="AZ111" s="1"/>
      <c r="BA111" s="1"/>
      <c r="BB111" s="1"/>
      <c r="BC111" s="62">
        <f t="shared" si="37"/>
        <v>0</v>
      </c>
      <c r="BD111" s="1"/>
      <c r="BE111" s="1"/>
      <c r="BF111" s="1"/>
      <c r="BG111" s="1"/>
      <c r="BH111" s="1">
        <f t="shared" si="38"/>
        <v>0</v>
      </c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75"/>
      <c r="CK111" s="75"/>
      <c r="CL111" s="1">
        <f t="shared" si="41"/>
        <v>0</v>
      </c>
    </row>
    <row r="112" spans="1:91" s="32" customFormat="1" ht="83.25" x14ac:dyDescent="0.95">
      <c r="A112" s="2" t="s">
        <v>0</v>
      </c>
      <c r="B112" s="95" t="s">
        <v>1</v>
      </c>
      <c r="C112" s="95"/>
      <c r="D112" s="44"/>
      <c r="E112" s="44"/>
      <c r="F112" s="44"/>
      <c r="G112" s="44"/>
      <c r="H112" s="44"/>
      <c r="I112" s="44"/>
      <c r="J112" s="44"/>
      <c r="K112" s="49"/>
      <c r="L112" s="44"/>
      <c r="M112" s="45"/>
      <c r="N112" s="44"/>
      <c r="O112" s="44"/>
      <c r="P112" s="44"/>
      <c r="Q112" s="44"/>
      <c r="R112" s="44"/>
      <c r="S112" s="44"/>
      <c r="T112" s="44"/>
      <c r="U112" s="44"/>
      <c r="V112" s="44"/>
      <c r="W112" s="1">
        <f>SUM(D112:T112)+V112</f>
        <v>0</v>
      </c>
      <c r="X112" s="62"/>
      <c r="Y112" s="62">
        <f>255000000-233551252-21448748</f>
        <v>0</v>
      </c>
      <c r="Z112" s="1">
        <v>90437800</v>
      </c>
      <c r="AA112" s="76">
        <v>139792.97</v>
      </c>
      <c r="AB112" s="76"/>
      <c r="AC112" s="76"/>
      <c r="AD112" s="76"/>
      <c r="AE112" s="76"/>
      <c r="AF112" s="76"/>
      <c r="AG112" s="76"/>
      <c r="AH112" s="1">
        <f>AI112+AJ112</f>
        <v>7045504</v>
      </c>
      <c r="AI112" s="1">
        <f>19034885-11989381</f>
        <v>7045504</v>
      </c>
      <c r="AJ112" s="1"/>
      <c r="AK112" s="1"/>
      <c r="AL112" s="1">
        <f t="shared" ref="AL112" si="49">AM112+AN112+AO112+AP112+AQ112</f>
        <v>0</v>
      </c>
      <c r="AM112" s="1"/>
      <c r="AN112" s="1"/>
      <c r="AO112" s="1"/>
      <c r="AP112" s="1"/>
      <c r="AQ112" s="1">
        <f>32736500-32736500</f>
        <v>0</v>
      </c>
      <c r="AR112" s="1">
        <f>AS112+AT112</f>
        <v>0</v>
      </c>
      <c r="AS112" s="1"/>
      <c r="AT112" s="1"/>
      <c r="AU112" s="1">
        <f>AV112+AW112+AY112</f>
        <v>0</v>
      </c>
      <c r="AV112" s="1"/>
      <c r="AW112" s="76"/>
      <c r="AX112" s="76"/>
      <c r="AY112" s="62">
        <f>2291560-2291560</f>
        <v>0</v>
      </c>
      <c r="AZ112" s="1">
        <f>60000000-40000000</f>
        <v>20000000</v>
      </c>
      <c r="BA112" s="1">
        <v>80000000</v>
      </c>
      <c r="BB112" s="1">
        <v>10341880</v>
      </c>
      <c r="BC112" s="62">
        <f t="shared" si="37"/>
        <v>0</v>
      </c>
      <c r="BD112" s="1"/>
      <c r="BE112" s="1"/>
      <c r="BF112" s="1"/>
      <c r="BG112" s="1"/>
      <c r="BH112" s="1">
        <f t="shared" si="38"/>
        <v>0</v>
      </c>
      <c r="BI112" s="1"/>
      <c r="BJ112" s="1"/>
      <c r="BK112" s="1"/>
      <c r="BL112" s="1"/>
      <c r="BM112" s="1"/>
      <c r="BN112" s="1"/>
      <c r="BO112" s="1"/>
      <c r="BP112" s="1"/>
      <c r="BQ112" s="1"/>
      <c r="BR112" s="62"/>
      <c r="BS112" s="62"/>
      <c r="BT112" s="62"/>
      <c r="BU112" s="62"/>
      <c r="BV112" s="62"/>
      <c r="BW112" s="62"/>
      <c r="BX112" s="1"/>
      <c r="BY112" s="70"/>
      <c r="BZ112" s="1"/>
      <c r="CA112" s="1"/>
      <c r="CB112" s="1"/>
      <c r="CC112" s="1">
        <f>2000000-1000000-1000000</f>
        <v>0</v>
      </c>
      <c r="CD112" s="1">
        <v>2000000</v>
      </c>
      <c r="CE112" s="1">
        <f>2000000-2000000</f>
        <v>0</v>
      </c>
      <c r="CF112" s="1">
        <f>12000000-7000000-5000000</f>
        <v>0</v>
      </c>
      <c r="CG112" s="1"/>
      <c r="CH112" s="1"/>
      <c r="CI112" s="1"/>
      <c r="CJ112" s="99">
        <v>4400000</v>
      </c>
      <c r="CK112" s="99"/>
      <c r="CL112" s="1">
        <f t="shared" si="41"/>
        <v>214364976.97</v>
      </c>
      <c r="CM112" s="40"/>
    </row>
    <row r="113" spans="1:92" s="32" customFormat="1" ht="78" customHeight="1" x14ac:dyDescent="0.95">
      <c r="A113" s="2"/>
      <c r="B113" s="95" t="s">
        <v>2</v>
      </c>
      <c r="C113" s="95"/>
      <c r="D113" s="44"/>
      <c r="E113" s="44"/>
      <c r="F113" s="44"/>
      <c r="G113" s="44"/>
      <c r="H113" s="44"/>
      <c r="I113" s="44"/>
      <c r="J113" s="44"/>
      <c r="K113" s="49"/>
      <c r="L113" s="44"/>
      <c r="M113" s="45"/>
      <c r="N113" s="44"/>
      <c r="O113" s="44"/>
      <c r="P113" s="44"/>
      <c r="Q113" s="44"/>
      <c r="R113" s="44"/>
      <c r="S113" s="44"/>
      <c r="T113" s="44"/>
      <c r="U113" s="44"/>
      <c r="V113" s="44"/>
      <c r="W113" s="1">
        <f>SUM(D113:T113)+V113</f>
        <v>0</v>
      </c>
      <c r="X113" s="62">
        <v>880420700</v>
      </c>
      <c r="Y113" s="62"/>
      <c r="Z113" s="1"/>
      <c r="AA113" s="76"/>
      <c r="AB113" s="76"/>
      <c r="AC113" s="76"/>
      <c r="AD113" s="76"/>
      <c r="AE113" s="76"/>
      <c r="AF113" s="75"/>
      <c r="AG113" s="75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75"/>
      <c r="AX113" s="75"/>
      <c r="AY113" s="61"/>
      <c r="AZ113" s="1"/>
      <c r="BA113" s="1"/>
      <c r="BB113" s="1"/>
      <c r="BC113" s="62">
        <f t="shared" si="37"/>
        <v>0</v>
      </c>
      <c r="BD113" s="1"/>
      <c r="BE113" s="1"/>
      <c r="BF113" s="1"/>
      <c r="BG113" s="1"/>
      <c r="BH113" s="1">
        <f t="shared" si="38"/>
        <v>0</v>
      </c>
      <c r="BI113" s="1"/>
      <c r="BJ113" s="1"/>
      <c r="BK113" s="1"/>
      <c r="BL113" s="1"/>
      <c r="BM113" s="1"/>
      <c r="BN113" s="1">
        <v>250451</v>
      </c>
      <c r="BO113" s="1">
        <f>2860400+1600000</f>
        <v>4460400</v>
      </c>
      <c r="BP113" s="1">
        <f>6000000-2590000+3615000</f>
        <v>7025000</v>
      </c>
      <c r="BQ113" s="1">
        <f>2590000+14385000</f>
        <v>16975000</v>
      </c>
      <c r="BR113" s="62">
        <v>16558124</v>
      </c>
      <c r="BS113" s="71">
        <f>8000000-1400000</f>
        <v>6600000</v>
      </c>
      <c r="BT113" s="62">
        <v>780000</v>
      </c>
      <c r="BU113" s="62">
        <v>1019600</v>
      </c>
      <c r="BV113" s="62"/>
      <c r="BW113" s="62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99"/>
      <c r="CK113" s="99"/>
      <c r="CL113" s="1">
        <f t="shared" si="41"/>
        <v>934089275</v>
      </c>
      <c r="CM113" s="40"/>
    </row>
    <row r="114" spans="1:92" s="3" customFormat="1" ht="83.25" x14ac:dyDescent="0.95">
      <c r="A114" s="52"/>
      <c r="B114" s="98" t="s">
        <v>216</v>
      </c>
      <c r="C114" s="98"/>
      <c r="D114" s="53">
        <f>D23+D46+D109+D112+D113+D110</f>
        <v>1769000</v>
      </c>
      <c r="E114" s="53">
        <f>E23+E46+E109+E112+E113+E110</f>
        <v>5000000</v>
      </c>
      <c r="F114" s="53">
        <f>F23+F46+F109+F112+F113+F110+F111</f>
        <v>90000</v>
      </c>
      <c r="G114" s="53">
        <f>G23+G46+G109+G112+G113+G110+G111</f>
        <v>1000000</v>
      </c>
      <c r="H114" s="53">
        <f>H23+H46+H109+H112+H113+H110+H111</f>
        <v>20613000</v>
      </c>
      <c r="I114" s="53">
        <f>I23+I46+I109+I112+I113</f>
        <v>38650000</v>
      </c>
      <c r="J114" s="53">
        <f>J23+J46+J109+J112+J113</f>
        <v>2150000</v>
      </c>
      <c r="K114" s="53">
        <f>K23+K46+K109+K112+K113</f>
        <v>1164670</v>
      </c>
      <c r="L114" s="53">
        <f>L23+L46+L109+L112+L113+L110</f>
        <v>5489400</v>
      </c>
      <c r="M114" s="63">
        <f t="shared" ref="M114:V114" si="50">M23+M46+M109+M112+M113</f>
        <v>1040200</v>
      </c>
      <c r="N114" s="53">
        <f t="shared" si="50"/>
        <v>9544000</v>
      </c>
      <c r="O114" s="53">
        <f t="shared" si="50"/>
        <v>1210394</v>
      </c>
      <c r="P114" s="53">
        <f t="shared" si="50"/>
        <v>119330</v>
      </c>
      <c r="Q114" s="53">
        <f t="shared" si="50"/>
        <v>500000</v>
      </c>
      <c r="R114" s="53">
        <f t="shared" si="50"/>
        <v>3100000</v>
      </c>
      <c r="S114" s="53">
        <f t="shared" si="50"/>
        <v>6400000</v>
      </c>
      <c r="T114" s="53">
        <f t="shared" si="50"/>
        <v>30670</v>
      </c>
      <c r="U114" s="53">
        <f t="shared" si="50"/>
        <v>484163</v>
      </c>
      <c r="V114" s="53">
        <f t="shared" si="50"/>
        <v>101100</v>
      </c>
      <c r="W114" s="53">
        <f>SUM(D114:T114)+V114+U114</f>
        <v>98455927</v>
      </c>
      <c r="X114" s="53">
        <f t="shared" ref="X114:CI114" si="51">X23+X46+X109+X112+X113</f>
        <v>880420700</v>
      </c>
      <c r="Y114" s="53">
        <f t="shared" si="51"/>
        <v>255000000</v>
      </c>
      <c r="Z114" s="53">
        <f t="shared" ref="Z114" si="52">Z23+Z46+Z109+Z112+Z113</f>
        <v>90437800</v>
      </c>
      <c r="AA114" s="77">
        <f>AA23+AA46+AA109+AA112+AA113</f>
        <v>13734084</v>
      </c>
      <c r="AB114" s="77"/>
      <c r="AC114" s="77">
        <f>AC113+AC112+AC109+AC46+AC23</f>
        <v>10551044</v>
      </c>
      <c r="AD114" s="77"/>
      <c r="AE114" s="77"/>
      <c r="AF114" s="77">
        <f>AF23+AF46+AF109+AF112+AF113</f>
        <v>1042348</v>
      </c>
      <c r="AG114" s="77"/>
      <c r="AH114" s="53">
        <f t="shared" si="51"/>
        <v>54531419</v>
      </c>
      <c r="AI114" s="53">
        <f t="shared" si="51"/>
        <v>47356169</v>
      </c>
      <c r="AJ114" s="53">
        <f t="shared" si="51"/>
        <v>6682450</v>
      </c>
      <c r="AK114" s="53">
        <f t="shared" si="51"/>
        <v>492800</v>
      </c>
      <c r="AL114" s="53">
        <f t="shared" si="51"/>
        <v>33852116.460000001</v>
      </c>
      <c r="AM114" s="53">
        <f t="shared" si="51"/>
        <v>354151.4</v>
      </c>
      <c r="AN114" s="53">
        <f t="shared" si="51"/>
        <v>49779.77</v>
      </c>
      <c r="AO114" s="53">
        <f t="shared" si="51"/>
        <v>1675799.78</v>
      </c>
      <c r="AP114" s="53">
        <f t="shared" si="51"/>
        <v>35885.51</v>
      </c>
      <c r="AQ114" s="53">
        <f t="shared" si="51"/>
        <v>31736500</v>
      </c>
      <c r="AR114" s="53">
        <f t="shared" si="51"/>
        <v>33210900</v>
      </c>
      <c r="AS114" s="53">
        <f t="shared" si="51"/>
        <v>23348100</v>
      </c>
      <c r="AT114" s="53">
        <f t="shared" si="51"/>
        <v>9862800</v>
      </c>
      <c r="AU114" s="53">
        <f t="shared" si="51"/>
        <v>72070397</v>
      </c>
      <c r="AV114" s="53">
        <f t="shared" si="51"/>
        <v>71371097</v>
      </c>
      <c r="AW114" s="77">
        <f>AW23+AW46+AW109+AW112+AW113</f>
        <v>699300</v>
      </c>
      <c r="AX114" s="77"/>
      <c r="AY114" s="53">
        <f t="shared" si="51"/>
        <v>0</v>
      </c>
      <c r="AZ114" s="53">
        <f t="shared" ref="AZ114:BE114" si="53">AZ23+AZ46+AZ109+AZ112+AZ113</f>
        <v>20000000</v>
      </c>
      <c r="BA114" s="53">
        <f t="shared" si="53"/>
        <v>80000000</v>
      </c>
      <c r="BB114" s="53">
        <f t="shared" si="53"/>
        <v>100118300</v>
      </c>
      <c r="BC114" s="53">
        <f t="shared" si="53"/>
        <v>54444.630000000005</v>
      </c>
      <c r="BD114" s="53">
        <f t="shared" si="53"/>
        <v>32600.63</v>
      </c>
      <c r="BE114" s="53">
        <f t="shared" si="53"/>
        <v>21844</v>
      </c>
      <c r="BF114" s="53">
        <f t="shared" si="51"/>
        <v>20749500</v>
      </c>
      <c r="BG114" s="53">
        <f t="shared" si="51"/>
        <v>20749500</v>
      </c>
      <c r="BH114" s="53">
        <f t="shared" si="38"/>
        <v>102726400</v>
      </c>
      <c r="BI114" s="53">
        <f t="shared" si="51"/>
        <v>64273600</v>
      </c>
      <c r="BJ114" s="53">
        <f t="shared" si="51"/>
        <v>38452800</v>
      </c>
      <c r="BK114" s="53">
        <f t="shared" si="51"/>
        <v>10000000</v>
      </c>
      <c r="BL114" s="53">
        <f t="shared" si="51"/>
        <v>137000</v>
      </c>
      <c r="BM114" s="53">
        <f t="shared" si="51"/>
        <v>137000</v>
      </c>
      <c r="BN114" s="53">
        <f t="shared" si="51"/>
        <v>250451</v>
      </c>
      <c r="BO114" s="53">
        <f t="shared" ref="BO114" si="54">BO23+BO46+BO109+BO112+BO113</f>
        <v>4460400</v>
      </c>
      <c r="BP114" s="53">
        <f t="shared" si="51"/>
        <v>7025000</v>
      </c>
      <c r="BQ114" s="53">
        <f t="shared" si="51"/>
        <v>16975000</v>
      </c>
      <c r="BR114" s="53">
        <f t="shared" si="51"/>
        <v>16558124</v>
      </c>
      <c r="BS114" s="53">
        <f t="shared" si="51"/>
        <v>6600000</v>
      </c>
      <c r="BT114" s="53">
        <f t="shared" si="51"/>
        <v>780000</v>
      </c>
      <c r="BU114" s="53">
        <f t="shared" si="51"/>
        <v>1019600</v>
      </c>
      <c r="BV114" s="53">
        <f t="shared" ref="BV114:BW114" si="55">BV23+BV46+BV109+BV112+BV113</f>
        <v>387474</v>
      </c>
      <c r="BW114" s="53">
        <f t="shared" si="55"/>
        <v>30000000</v>
      </c>
      <c r="BX114" s="53">
        <f t="shared" ref="BX114" si="56">BX23+BX46+BX109+BX112+BX113</f>
        <v>1690445</v>
      </c>
      <c r="BY114" s="53">
        <f t="shared" si="51"/>
        <v>59512170</v>
      </c>
      <c r="BZ114" s="53">
        <f t="shared" si="51"/>
        <v>9371634</v>
      </c>
      <c r="CA114" s="53">
        <f t="shared" si="51"/>
        <v>151176</v>
      </c>
      <c r="CB114" s="53">
        <f t="shared" si="51"/>
        <v>1570000</v>
      </c>
      <c r="CC114" s="53">
        <f t="shared" si="51"/>
        <v>1000000</v>
      </c>
      <c r="CD114" s="53">
        <f t="shared" si="51"/>
        <v>2000000</v>
      </c>
      <c r="CE114" s="53">
        <f t="shared" si="51"/>
        <v>2000000</v>
      </c>
      <c r="CF114" s="53">
        <f t="shared" si="51"/>
        <v>8600000</v>
      </c>
      <c r="CG114" s="53">
        <f t="shared" si="51"/>
        <v>30000000</v>
      </c>
      <c r="CH114" s="53">
        <f t="shared" si="51"/>
        <v>2500000</v>
      </c>
      <c r="CI114" s="53">
        <f t="shared" si="51"/>
        <v>3500000</v>
      </c>
      <c r="CJ114" s="100">
        <f>CK23+CK46+CK109+CJ112+CK113</f>
        <v>4400000</v>
      </c>
      <c r="CK114" s="100"/>
      <c r="CL114" s="53">
        <f t="shared" si="41"/>
        <v>1988987927.0899997</v>
      </c>
      <c r="CM114" s="41"/>
    </row>
    <row r="115" spans="1:92" s="23" customFormat="1" ht="366" customHeight="1" x14ac:dyDescent="1.3">
      <c r="A115" s="54"/>
      <c r="B115" s="102"/>
      <c r="C115" s="102"/>
      <c r="D115" s="54"/>
      <c r="E115" s="54"/>
      <c r="F115" s="54"/>
      <c r="G115" s="54"/>
      <c r="H115" s="54"/>
      <c r="I115" s="54"/>
      <c r="J115" s="54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6"/>
      <c r="Y115" s="56"/>
      <c r="Z115" s="57"/>
      <c r="AA115" s="72"/>
      <c r="AB115" s="72"/>
      <c r="AC115" s="72"/>
      <c r="AD115" s="72"/>
      <c r="AE115" s="72"/>
      <c r="AF115" s="72"/>
      <c r="AG115" s="72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7"/>
      <c r="BM115" s="57"/>
      <c r="BN115" s="57"/>
      <c r="BO115" s="57"/>
      <c r="BP115" s="57"/>
      <c r="BQ115" s="57"/>
      <c r="BR115" s="58"/>
      <c r="BS115" s="58"/>
      <c r="BT115" s="58"/>
      <c r="BU115" s="58"/>
      <c r="BV115" s="56"/>
      <c r="BW115" s="56"/>
      <c r="BX115" s="58"/>
      <c r="BY115" s="58"/>
      <c r="BZ115" s="58"/>
      <c r="CA115" s="58"/>
      <c r="CB115" s="58"/>
      <c r="CC115" s="58"/>
      <c r="CD115" s="58"/>
      <c r="CE115" s="54"/>
      <c r="CF115" s="102"/>
      <c r="CG115" s="102"/>
      <c r="CH115" s="102"/>
      <c r="CI115" s="102"/>
      <c r="CJ115" s="102" t="s">
        <v>316</v>
      </c>
      <c r="CK115" s="102"/>
      <c r="CL115" s="59" t="s">
        <v>231</v>
      </c>
      <c r="CN115" s="33"/>
    </row>
  </sheetData>
  <sheetProtection selectLockedCells="1" selectUnlockedCells="1"/>
  <mergeCells count="761">
    <mergeCell ref="CF115:CI115"/>
    <mergeCell ref="BX11:CC11"/>
    <mergeCell ref="BW9:BW10"/>
    <mergeCell ref="BC9:BC10"/>
    <mergeCell ref="BC11:BE11"/>
    <mergeCell ref="BD9:BE9"/>
    <mergeCell ref="BN9:BN10"/>
    <mergeCell ref="CD9:CD10"/>
    <mergeCell ref="CD11:CI11"/>
    <mergeCell ref="CJ11:CK11"/>
    <mergeCell ref="CD6:CI6"/>
    <mergeCell ref="CJ6:CK6"/>
    <mergeCell ref="CJ8:CK8"/>
    <mergeCell ref="CJ7:CK7"/>
    <mergeCell ref="CD7:CI7"/>
    <mergeCell ref="CD8:CI8"/>
    <mergeCell ref="CI9:CI10"/>
    <mergeCell ref="BW8:CC8"/>
    <mergeCell ref="BW7:CC7"/>
    <mergeCell ref="BW6:CC6"/>
    <mergeCell ref="BY9:BY10"/>
    <mergeCell ref="BU8:BV8"/>
    <mergeCell ref="BP7:BU7"/>
    <mergeCell ref="AC115:AE115"/>
    <mergeCell ref="AF115:AG115"/>
    <mergeCell ref="AW105:AX105"/>
    <mergeCell ref="AW107:AX107"/>
    <mergeCell ref="BT9:BU10"/>
    <mergeCell ref="BP11:BU11"/>
    <mergeCell ref="BN11:BO11"/>
    <mergeCell ref="BO9:BO10"/>
    <mergeCell ref="BH9:BH10"/>
    <mergeCell ref="BK9:BK10"/>
    <mergeCell ref="AF11:AG11"/>
    <mergeCell ref="BH11:BJ11"/>
    <mergeCell ref="BI9:BJ9"/>
    <mergeCell ref="BQ8:BT8"/>
    <mergeCell ref="BB9:BB10"/>
    <mergeCell ref="AW83:AX83"/>
    <mergeCell ref="AW85:AX85"/>
    <mergeCell ref="CJ115:CK115"/>
    <mergeCell ref="BP9:BQ10"/>
    <mergeCell ref="H1:I1"/>
    <mergeCell ref="H2:I2"/>
    <mergeCell ref="J8:N8"/>
    <mergeCell ref="J6:N6"/>
    <mergeCell ref="D6:I6"/>
    <mergeCell ref="J7:N7"/>
    <mergeCell ref="D7:I7"/>
    <mergeCell ref="AI9:AK9"/>
    <mergeCell ref="R8:V8"/>
    <mergeCell ref="D9:D10"/>
    <mergeCell ref="F9:F10"/>
    <mergeCell ref="O7:V7"/>
    <mergeCell ref="O6:V6"/>
    <mergeCell ref="M9:M10"/>
    <mergeCell ref="N9:N10"/>
    <mergeCell ref="X7:Y8"/>
    <mergeCell ref="O8:Q8"/>
    <mergeCell ref="Q9:Q10"/>
    <mergeCell ref="AA6:AB6"/>
    <mergeCell ref="CE9:CE10"/>
    <mergeCell ref="CF9:CF10"/>
    <mergeCell ref="BP6:BV6"/>
    <mergeCell ref="F4:I4"/>
    <mergeCell ref="V9:V10"/>
    <mergeCell ref="AC9:AE10"/>
    <mergeCell ref="AC8:AG8"/>
    <mergeCell ref="Z9:Z10"/>
    <mergeCell ref="AH6:AO6"/>
    <mergeCell ref="AM9:AQ9"/>
    <mergeCell ref="X6:Z6"/>
    <mergeCell ref="AH9:AH10"/>
    <mergeCell ref="AA9:AB10"/>
    <mergeCell ref="AP8:AT8"/>
    <mergeCell ref="AP7:AT7"/>
    <mergeCell ref="AP6:AT6"/>
    <mergeCell ref="R9:R10"/>
    <mergeCell ref="L9:L10"/>
    <mergeCell ref="D8:G8"/>
    <mergeCell ref="AA8:AB8"/>
    <mergeCell ref="AH8:AO8"/>
    <mergeCell ref="AH7:AO7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54:AX54"/>
    <mergeCell ref="AW55:AX55"/>
    <mergeCell ref="AW56:AX56"/>
    <mergeCell ref="AW57:AX57"/>
    <mergeCell ref="AW58:AX58"/>
    <mergeCell ref="AW59:AX59"/>
    <mergeCell ref="AW60:AX60"/>
    <mergeCell ref="AW112:AX112"/>
    <mergeCell ref="AW104:AX104"/>
    <mergeCell ref="AW87:AX87"/>
    <mergeCell ref="AW88:AX88"/>
    <mergeCell ref="AW89:AX89"/>
    <mergeCell ref="AW90:AX90"/>
    <mergeCell ref="AW91:AX91"/>
    <mergeCell ref="AW92:AX92"/>
    <mergeCell ref="AW94:AX94"/>
    <mergeCell ref="AW93:AX93"/>
    <mergeCell ref="AW95:AX95"/>
    <mergeCell ref="AW97:AX97"/>
    <mergeCell ref="AW98:AX98"/>
    <mergeCell ref="AW99:AX99"/>
    <mergeCell ref="AW100:AX100"/>
    <mergeCell ref="AW101:AX101"/>
    <mergeCell ref="AW102:AX102"/>
    <mergeCell ref="AW114:AX114"/>
    <mergeCell ref="AW113:AX113"/>
    <mergeCell ref="AW111:AX111"/>
    <mergeCell ref="AW108:AX108"/>
    <mergeCell ref="AW109:AX109"/>
    <mergeCell ref="AW110:AX110"/>
    <mergeCell ref="AW86:AX86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80:AX80"/>
    <mergeCell ref="AW84:AX84"/>
    <mergeCell ref="AW96:AX96"/>
    <mergeCell ref="AW106:AX106"/>
    <mergeCell ref="AW103:AX103"/>
    <mergeCell ref="AW81:AX81"/>
    <mergeCell ref="AW82:AX82"/>
    <mergeCell ref="AW78:AX78"/>
    <mergeCell ref="AW79:AX79"/>
    <mergeCell ref="CJ109:CK109"/>
    <mergeCell ref="CJ90:CK90"/>
    <mergeCell ref="CJ101:CK101"/>
    <mergeCell ref="CJ102:CK102"/>
    <mergeCell ref="CJ103:CK103"/>
    <mergeCell ref="CJ104:CK104"/>
    <mergeCell ref="CJ105:CK105"/>
    <mergeCell ref="CJ100:CK100"/>
    <mergeCell ref="CJ106:CK106"/>
    <mergeCell ref="CJ107:CK107"/>
    <mergeCell ref="CJ108:CK108"/>
    <mergeCell ref="CJ91:CK91"/>
    <mergeCell ref="CJ92:CK92"/>
    <mergeCell ref="CJ93:CK93"/>
    <mergeCell ref="CJ94:CK94"/>
    <mergeCell ref="CJ95:CK95"/>
    <mergeCell ref="CJ96:CK96"/>
    <mergeCell ref="CJ97:CK97"/>
    <mergeCell ref="CJ98:CK98"/>
    <mergeCell ref="CJ99:CK99"/>
    <mergeCell ref="CJ110:CK110"/>
    <mergeCell ref="CJ111:CK111"/>
    <mergeCell ref="CJ112:CK112"/>
    <mergeCell ref="CJ113:CK113"/>
    <mergeCell ref="CJ114:CK114"/>
    <mergeCell ref="CH9:CH10"/>
    <mergeCell ref="CJ27:CK27"/>
    <mergeCell ref="CJ12:CK12"/>
    <mergeCell ref="CJ13:CK13"/>
    <mergeCell ref="CJ14:CK14"/>
    <mergeCell ref="CJ15:CK15"/>
    <mergeCell ref="CJ16:CK16"/>
    <mergeCell ref="CJ17:CK17"/>
    <mergeCell ref="CJ18:CK18"/>
    <mergeCell ref="CJ19:CK19"/>
    <mergeCell ref="CJ20:CK20"/>
    <mergeCell ref="CJ21:CK21"/>
    <mergeCell ref="CJ22:CK22"/>
    <mergeCell ref="CJ23:CK23"/>
    <mergeCell ref="CJ24:CK24"/>
    <mergeCell ref="CJ25:CK25"/>
    <mergeCell ref="CJ87:CK87"/>
    <mergeCell ref="CJ88:CK88"/>
    <mergeCell ref="CJ89:CK89"/>
    <mergeCell ref="CJ81:CK81"/>
    <mergeCell ref="CJ82:CK82"/>
    <mergeCell ref="CJ83:CK83"/>
    <mergeCell ref="CJ84:CK84"/>
    <mergeCell ref="CJ85:CK85"/>
    <mergeCell ref="CJ86:CK86"/>
    <mergeCell ref="CJ68:CK68"/>
    <mergeCell ref="CJ79:CK79"/>
    <mergeCell ref="CJ69:CK69"/>
    <mergeCell ref="CJ70:CK70"/>
    <mergeCell ref="CJ71:CK71"/>
    <mergeCell ref="CJ72:CK72"/>
    <mergeCell ref="CJ73:CK73"/>
    <mergeCell ref="CJ74:CK74"/>
    <mergeCell ref="CJ75:CK75"/>
    <mergeCell ref="CJ76:CK76"/>
    <mergeCell ref="CJ77:CK77"/>
    <mergeCell ref="B78:C78"/>
    <mergeCell ref="CJ42:CK42"/>
    <mergeCell ref="CJ43:CK43"/>
    <mergeCell ref="CJ44:CK44"/>
    <mergeCell ref="CJ45:CK45"/>
    <mergeCell ref="CJ46:CK46"/>
    <mergeCell ref="CJ47:CK47"/>
    <mergeCell ref="CJ48:CK48"/>
    <mergeCell ref="CJ49:CK49"/>
    <mergeCell ref="CJ50:CK50"/>
    <mergeCell ref="CJ51:CK51"/>
    <mergeCell ref="CJ52:CK52"/>
    <mergeCell ref="CJ53:CK53"/>
    <mergeCell ref="CJ54:CK54"/>
    <mergeCell ref="CJ55:CK55"/>
    <mergeCell ref="CJ56:CK56"/>
    <mergeCell ref="B58:C58"/>
    <mergeCell ref="B77:C77"/>
    <mergeCell ref="B68:C68"/>
    <mergeCell ref="CJ57:CK57"/>
    <mergeCell ref="CJ58:CK58"/>
    <mergeCell ref="CJ59:CK59"/>
    <mergeCell ref="CJ60:CK60"/>
    <mergeCell ref="CJ78:CK78"/>
    <mergeCell ref="B53:C53"/>
    <mergeCell ref="B54:C54"/>
    <mergeCell ref="B55:C55"/>
    <mergeCell ref="B47:C47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B42:C42"/>
    <mergeCell ref="B43:C43"/>
    <mergeCell ref="AW52:AX52"/>
    <mergeCell ref="AW53:AX53"/>
    <mergeCell ref="AA44:AB44"/>
    <mergeCell ref="AA45:AB45"/>
    <mergeCell ref="AA46:AB46"/>
    <mergeCell ref="AA47:AB47"/>
    <mergeCell ref="AA48:AB48"/>
    <mergeCell ref="B89:C89"/>
    <mergeCell ref="B52:C52"/>
    <mergeCell ref="B41:C41"/>
    <mergeCell ref="B44:C44"/>
    <mergeCell ref="B45:C45"/>
    <mergeCell ref="B46:C46"/>
    <mergeCell ref="B48:C48"/>
    <mergeCell ref="B49:C49"/>
    <mergeCell ref="B33:C33"/>
    <mergeCell ref="B34:C34"/>
    <mergeCell ref="B59:C59"/>
    <mergeCell ref="B60:C60"/>
    <mergeCell ref="B61:C61"/>
    <mergeCell ref="B62:C62"/>
    <mergeCell ref="B63:C63"/>
    <mergeCell ref="B64:C64"/>
    <mergeCell ref="B50:C50"/>
    <mergeCell ref="B51:C51"/>
    <mergeCell ref="B65:C65"/>
    <mergeCell ref="B66:C66"/>
    <mergeCell ref="B67:C67"/>
    <mergeCell ref="B56:C56"/>
    <mergeCell ref="B57:C57"/>
    <mergeCell ref="B35:C35"/>
    <mergeCell ref="B101:C101"/>
    <mergeCell ref="B102:C102"/>
    <mergeCell ref="B97:C97"/>
    <mergeCell ref="B98:C98"/>
    <mergeCell ref="B99:C99"/>
    <mergeCell ref="B109:C109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6:C96"/>
    <mergeCell ref="B92:C92"/>
    <mergeCell ref="B93:C93"/>
    <mergeCell ref="B94:C94"/>
    <mergeCell ref="B95:C95"/>
    <mergeCell ref="B90:C90"/>
    <mergeCell ref="B91:C91"/>
    <mergeCell ref="B69:C69"/>
    <mergeCell ref="B70:C70"/>
    <mergeCell ref="B79:C79"/>
    <mergeCell ref="B80:C80"/>
    <mergeCell ref="B83:C83"/>
    <mergeCell ref="B84:C84"/>
    <mergeCell ref="B81:C81"/>
    <mergeCell ref="B82:C82"/>
    <mergeCell ref="B71:C71"/>
    <mergeCell ref="B72:C72"/>
    <mergeCell ref="B73:C73"/>
    <mergeCell ref="B75:C75"/>
    <mergeCell ref="B76:C76"/>
    <mergeCell ref="B85:C85"/>
    <mergeCell ref="B86:C86"/>
    <mergeCell ref="B87:C87"/>
    <mergeCell ref="B88:C88"/>
    <mergeCell ref="B40:C40"/>
    <mergeCell ref="AA40:AB40"/>
    <mergeCell ref="B27:C27"/>
    <mergeCell ref="B28:C28"/>
    <mergeCell ref="B23:C23"/>
    <mergeCell ref="B17:C17"/>
    <mergeCell ref="B18:C18"/>
    <mergeCell ref="B19:C19"/>
    <mergeCell ref="B20:C20"/>
    <mergeCell ref="B29:C29"/>
    <mergeCell ref="B30:C30"/>
    <mergeCell ref="B31:C31"/>
    <mergeCell ref="B32:C32"/>
    <mergeCell ref="AA36:AB36"/>
    <mergeCell ref="AA37:AB37"/>
    <mergeCell ref="AA38:AB38"/>
    <mergeCell ref="AA39:AB39"/>
    <mergeCell ref="B36:C36"/>
    <mergeCell ref="B37:C37"/>
    <mergeCell ref="B38:C38"/>
    <mergeCell ref="B39:C39"/>
    <mergeCell ref="B21:C21"/>
    <mergeCell ref="B22:C22"/>
    <mergeCell ref="B26:C26"/>
    <mergeCell ref="AW14:AX14"/>
    <mergeCell ref="AW15:AX15"/>
    <mergeCell ref="AW16:AX16"/>
    <mergeCell ref="AW17:AX17"/>
    <mergeCell ref="AW18:AX18"/>
    <mergeCell ref="AW19:AX19"/>
    <mergeCell ref="AW20:AX20"/>
    <mergeCell ref="AC16:AE16"/>
    <mergeCell ref="AA49:AB49"/>
    <mergeCell ref="AA34:AB34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27:AX27"/>
    <mergeCell ref="AW28:AX28"/>
    <mergeCell ref="AW29:AX29"/>
    <mergeCell ref="AW30:AX30"/>
    <mergeCell ref="AW31:AX31"/>
    <mergeCell ref="AW24:AX24"/>
    <mergeCell ref="AW25:AX25"/>
    <mergeCell ref="AA22:AB22"/>
    <mergeCell ref="AA23:AB23"/>
    <mergeCell ref="AA24:AB24"/>
    <mergeCell ref="AA25:AB25"/>
    <mergeCell ref="AW26:AX26"/>
    <mergeCell ref="AA21:AB21"/>
    <mergeCell ref="AA26:AB26"/>
    <mergeCell ref="AW21:AX21"/>
    <mergeCell ref="AW22:AX22"/>
    <mergeCell ref="AW23:AX23"/>
    <mergeCell ref="AC26:AE26"/>
    <mergeCell ref="AF14:AG14"/>
    <mergeCell ref="AF15:AG15"/>
    <mergeCell ref="AF16:AG16"/>
    <mergeCell ref="AA16:AB16"/>
    <mergeCell ref="AA50:AB50"/>
    <mergeCell ref="AA27:AB27"/>
    <mergeCell ref="AA28:AB28"/>
    <mergeCell ref="AA29:AB29"/>
    <mergeCell ref="AA30:AB30"/>
    <mergeCell ref="AA31:AB31"/>
    <mergeCell ref="AA32:AB32"/>
    <mergeCell ref="AA33:AB33"/>
    <mergeCell ref="AA35:AB35"/>
    <mergeCell ref="AF33:AG33"/>
    <mergeCell ref="AF34:AG34"/>
    <mergeCell ref="AF35:AG35"/>
    <mergeCell ref="AF36:AG36"/>
    <mergeCell ref="AA41:AB41"/>
    <mergeCell ref="AA42:AB42"/>
    <mergeCell ref="AA43:AB43"/>
    <mergeCell ref="AC32:AE32"/>
    <mergeCell ref="AC33:AE33"/>
    <mergeCell ref="AC34:AE34"/>
    <mergeCell ref="AF31:AG31"/>
    <mergeCell ref="B24:C24"/>
    <mergeCell ref="B25:C25"/>
    <mergeCell ref="B16:C16"/>
    <mergeCell ref="AA17:AB17"/>
    <mergeCell ref="AA18:AB18"/>
    <mergeCell ref="AA19:AB19"/>
    <mergeCell ref="AA20:AB20"/>
    <mergeCell ref="B14:C14"/>
    <mergeCell ref="B15:C15"/>
    <mergeCell ref="AA14:AB14"/>
    <mergeCell ref="AA15:AB15"/>
    <mergeCell ref="AC14:AE14"/>
    <mergeCell ref="AC15:AE15"/>
    <mergeCell ref="J11:N11"/>
    <mergeCell ref="B12:C12"/>
    <mergeCell ref="B13:C13"/>
    <mergeCell ref="O11:V11"/>
    <mergeCell ref="AA11:AB11"/>
    <mergeCell ref="AA12:AB12"/>
    <mergeCell ref="B11:C11"/>
    <mergeCell ref="G11:H11"/>
    <mergeCell ref="AC11:AE11"/>
    <mergeCell ref="AC12:AE12"/>
    <mergeCell ref="AC13:AE13"/>
    <mergeCell ref="AZ11:BA11"/>
    <mergeCell ref="AL11:AO11"/>
    <mergeCell ref="AP11:AQ11"/>
    <mergeCell ref="AV11:AY11"/>
    <mergeCell ref="AU9:AU10"/>
    <mergeCell ref="AR9:AR10"/>
    <mergeCell ref="AR11:AT11"/>
    <mergeCell ref="A6:A10"/>
    <mergeCell ref="B6:C10"/>
    <mergeCell ref="X9:X10"/>
    <mergeCell ref="Y9:Y10"/>
    <mergeCell ref="J9:J10"/>
    <mergeCell ref="W6:W10"/>
    <mergeCell ref="I9:I10"/>
    <mergeCell ref="K9:K10"/>
    <mergeCell ref="E9:E10"/>
    <mergeCell ref="O9:O10"/>
    <mergeCell ref="U9:U10"/>
    <mergeCell ref="S9:S10"/>
    <mergeCell ref="G9:H10"/>
    <mergeCell ref="P9:P10"/>
    <mergeCell ref="T9:T10"/>
    <mergeCell ref="H8:I8"/>
    <mergeCell ref="AF12:AG12"/>
    <mergeCell ref="AF13:AG13"/>
    <mergeCell ref="AW12:AX12"/>
    <mergeCell ref="AW13:AX13"/>
    <mergeCell ref="AA13:AB13"/>
    <mergeCell ref="AH11:AK11"/>
    <mergeCell ref="AL9:AL10"/>
    <mergeCell ref="AS9:AT9"/>
    <mergeCell ref="AA7:AB7"/>
    <mergeCell ref="CL6:CL10"/>
    <mergeCell ref="CJ9:CK10"/>
    <mergeCell ref="BF11:BG11"/>
    <mergeCell ref="BL11:BM11"/>
    <mergeCell ref="AW10:AX10"/>
    <mergeCell ref="BZ9:BZ10"/>
    <mergeCell ref="BS9:BS10"/>
    <mergeCell ref="BX9:BX10"/>
    <mergeCell ref="CC9:CC10"/>
    <mergeCell ref="BR9:BR10"/>
    <mergeCell ref="BV9:BV10"/>
    <mergeCell ref="AV9:AY9"/>
    <mergeCell ref="BF9:BF10"/>
    <mergeCell ref="CB9:CB10"/>
    <mergeCell ref="CG9:CG10"/>
    <mergeCell ref="BL9:BL10"/>
    <mergeCell ref="CA9:CA10"/>
    <mergeCell ref="BH6:BO6"/>
    <mergeCell ref="BH7:BO7"/>
    <mergeCell ref="BH8:BO8"/>
    <mergeCell ref="AU8:AY8"/>
    <mergeCell ref="AU7:AY7"/>
    <mergeCell ref="AU6:AY6"/>
    <mergeCell ref="AZ9:BA10"/>
    <mergeCell ref="AC27:AE27"/>
    <mergeCell ref="AC41:AE41"/>
    <mergeCell ref="AC42:AE42"/>
    <mergeCell ref="AC43:AE43"/>
    <mergeCell ref="AF49:AG49"/>
    <mergeCell ref="AF50:AG50"/>
    <mergeCell ref="AC44:AE44"/>
    <mergeCell ref="AF41:AG41"/>
    <mergeCell ref="AF42:AG42"/>
    <mergeCell ref="AF43:AG43"/>
    <mergeCell ref="AC28:AE28"/>
    <mergeCell ref="AC29:AE29"/>
    <mergeCell ref="AC17:AE17"/>
    <mergeCell ref="AC18:AE18"/>
    <mergeCell ref="AC19:AE19"/>
    <mergeCell ref="AC20:AE20"/>
    <mergeCell ref="AC21:AE21"/>
    <mergeCell ref="AC22:AE22"/>
    <mergeCell ref="AC23:AE23"/>
    <mergeCell ref="AC24:AE24"/>
    <mergeCell ref="AC25:AE25"/>
    <mergeCell ref="AF40:AG40"/>
    <mergeCell ref="AF32:AG32"/>
    <mergeCell ref="AC7:AG7"/>
    <mergeCell ref="AC35:AE35"/>
    <mergeCell ref="AA54:AB54"/>
    <mergeCell ref="AA55:AB55"/>
    <mergeCell ref="AA56:AB56"/>
    <mergeCell ref="AA57:AB57"/>
    <mergeCell ref="AF37:AG37"/>
    <mergeCell ref="AF38:AG38"/>
    <mergeCell ref="AF39:AG39"/>
    <mergeCell ref="AF44:AG44"/>
    <mergeCell ref="AF45:AG45"/>
    <mergeCell ref="AF46:AG46"/>
    <mergeCell ref="AF47:AG47"/>
    <mergeCell ref="AF48:AG48"/>
    <mergeCell ref="AF51:AG51"/>
    <mergeCell ref="AF52:AG52"/>
    <mergeCell ref="AF53:AG53"/>
    <mergeCell ref="AF54:AG54"/>
    <mergeCell ref="AF55:AG55"/>
    <mergeCell ref="AF56:AG56"/>
    <mergeCell ref="AF57:AG57"/>
    <mergeCell ref="AC55:AE55"/>
    <mergeCell ref="AF81:AG81"/>
    <mergeCell ref="AF82:AG82"/>
    <mergeCell ref="AF83:AG83"/>
    <mergeCell ref="AF84:AG84"/>
    <mergeCell ref="AA79:AB79"/>
    <mergeCell ref="AA80:AB80"/>
    <mergeCell ref="AA68:AB68"/>
    <mergeCell ref="AA87:AB87"/>
    <mergeCell ref="AA81:AB81"/>
    <mergeCell ref="AA82:AB82"/>
    <mergeCell ref="AA83:AB83"/>
    <mergeCell ref="AA84:AB84"/>
    <mergeCell ref="AA78:AB78"/>
    <mergeCell ref="AF71:AG71"/>
    <mergeCell ref="AF72:AG72"/>
    <mergeCell ref="AF73:AG73"/>
    <mergeCell ref="AF74:AG74"/>
    <mergeCell ref="AF75:AG75"/>
    <mergeCell ref="AF76:AG76"/>
    <mergeCell ref="AF77:AG77"/>
    <mergeCell ref="AF78:AG78"/>
    <mergeCell ref="AF80:AG80"/>
    <mergeCell ref="AC83:AE83"/>
    <mergeCell ref="AC84:AE84"/>
    <mergeCell ref="AA51:AB51"/>
    <mergeCell ref="AA52:AB52"/>
    <mergeCell ref="AA53:AB53"/>
    <mergeCell ref="AC47:AE47"/>
    <mergeCell ref="AC48:AE48"/>
    <mergeCell ref="AC49:AE49"/>
    <mergeCell ref="AC50:AE50"/>
    <mergeCell ref="AF67:AG67"/>
    <mergeCell ref="AF68:AG68"/>
    <mergeCell ref="AA67:AB67"/>
    <mergeCell ref="AF58:AG58"/>
    <mergeCell ref="AC54:AE54"/>
    <mergeCell ref="AC57:AE57"/>
    <mergeCell ref="AC58:AE58"/>
    <mergeCell ref="AC59:AE59"/>
    <mergeCell ref="AA60:AB60"/>
    <mergeCell ref="AA61:AB61"/>
    <mergeCell ref="AA62:AB62"/>
    <mergeCell ref="AA63:AB63"/>
    <mergeCell ref="AA64:AB64"/>
    <mergeCell ref="AA65:AB65"/>
    <mergeCell ref="AA66:AB66"/>
    <mergeCell ref="AF59:AG59"/>
    <mergeCell ref="AF60:AG60"/>
    <mergeCell ref="AA114:AB114"/>
    <mergeCell ref="AF9:AG10"/>
    <mergeCell ref="AF17:AG17"/>
    <mergeCell ref="AF18:AG18"/>
    <mergeCell ref="AF19:AG19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AA98:AB98"/>
    <mergeCell ref="AA102:AB102"/>
    <mergeCell ref="AA69:AB69"/>
    <mergeCell ref="AA70:AB70"/>
    <mergeCell ref="AA71:AB71"/>
    <mergeCell ref="AA97:AB97"/>
    <mergeCell ref="AA58:AB58"/>
    <mergeCell ref="AA59:AB59"/>
    <mergeCell ref="AF100:AG100"/>
    <mergeCell ref="AF101:AG101"/>
    <mergeCell ref="AF102:AG102"/>
    <mergeCell ref="AF85:AG85"/>
    <mergeCell ref="AF86:AG86"/>
    <mergeCell ref="AF87:AG87"/>
    <mergeCell ref="AF88:AG88"/>
    <mergeCell ref="AF89:AG89"/>
    <mergeCell ref="AF90:AG90"/>
    <mergeCell ref="AF91:AG91"/>
    <mergeCell ref="AF92:AG92"/>
    <mergeCell ref="AF93:AG93"/>
    <mergeCell ref="AF112:AG112"/>
    <mergeCell ref="AF113:AG113"/>
    <mergeCell ref="AF114:AG114"/>
    <mergeCell ref="AZ6:BG6"/>
    <mergeCell ref="AZ7:BG7"/>
    <mergeCell ref="BB8:BG8"/>
    <mergeCell ref="AF103:AG103"/>
    <mergeCell ref="AF104:AG104"/>
    <mergeCell ref="AF105:AG105"/>
    <mergeCell ref="AF106:AG106"/>
    <mergeCell ref="AF107:AG107"/>
    <mergeCell ref="AF108:AG108"/>
    <mergeCell ref="AF109:AG109"/>
    <mergeCell ref="AF110:AG110"/>
    <mergeCell ref="AF111:AG111"/>
    <mergeCell ref="AF94:AG94"/>
    <mergeCell ref="AF95:AG95"/>
    <mergeCell ref="AF96:AG96"/>
    <mergeCell ref="AF97:AG97"/>
    <mergeCell ref="AF98:AG98"/>
    <mergeCell ref="AC6:AG6"/>
    <mergeCell ref="AC46:AE46"/>
    <mergeCell ref="AC45:AE45"/>
    <mergeCell ref="AF99:AG99"/>
    <mergeCell ref="CJ26:CK26"/>
    <mergeCell ref="CJ36:CK36"/>
    <mergeCell ref="CJ28:CK28"/>
    <mergeCell ref="CJ29:CK29"/>
    <mergeCell ref="CJ30:CK30"/>
    <mergeCell ref="CJ31:CK31"/>
    <mergeCell ref="CJ32:CK32"/>
    <mergeCell ref="CJ33:CK33"/>
    <mergeCell ref="CJ34:CK34"/>
    <mergeCell ref="CJ35:CK35"/>
    <mergeCell ref="AF61:AG61"/>
    <mergeCell ref="AF62:AG62"/>
    <mergeCell ref="AF63:AG63"/>
    <mergeCell ref="AF64:AG64"/>
    <mergeCell ref="AF65:AG65"/>
    <mergeCell ref="AF66:AG66"/>
    <mergeCell ref="AF79:AG79"/>
    <mergeCell ref="AF69:AG69"/>
    <mergeCell ref="AF70:AG70"/>
    <mergeCell ref="CJ37:CK37"/>
    <mergeCell ref="CJ38:CK38"/>
    <mergeCell ref="CJ39:CK39"/>
    <mergeCell ref="CJ40:CK40"/>
    <mergeCell ref="CJ41:CK41"/>
    <mergeCell ref="CJ61:CK61"/>
    <mergeCell ref="CJ80:CK80"/>
    <mergeCell ref="CJ62:CK62"/>
    <mergeCell ref="CJ63:CK63"/>
    <mergeCell ref="CJ64:CK64"/>
    <mergeCell ref="CJ65:CK65"/>
    <mergeCell ref="CJ66:CK66"/>
    <mergeCell ref="CJ67:CK67"/>
    <mergeCell ref="AC30:AE30"/>
    <mergeCell ref="AC31:AE31"/>
    <mergeCell ref="AC36:AE36"/>
    <mergeCell ref="AC37:AE37"/>
    <mergeCell ref="AC38:AE38"/>
    <mergeCell ref="AC39:AE39"/>
    <mergeCell ref="AC40:AE40"/>
    <mergeCell ref="AC93:AE93"/>
    <mergeCell ref="AC94:AE94"/>
    <mergeCell ref="AC66:AE66"/>
    <mergeCell ref="AC67:AE67"/>
    <mergeCell ref="AC101:AE101"/>
    <mergeCell ref="AC98:AE98"/>
    <mergeCell ref="AC99:AE99"/>
    <mergeCell ref="AC68:AE68"/>
    <mergeCell ref="AC51:AE51"/>
    <mergeCell ref="AC52:AE52"/>
    <mergeCell ref="AC53:AE53"/>
    <mergeCell ref="AC60:AE60"/>
    <mergeCell ref="AC61:AE61"/>
    <mergeCell ref="AC62:AE62"/>
    <mergeCell ref="AC63:AE63"/>
    <mergeCell ref="AC64:AE64"/>
    <mergeCell ref="AC65:AE65"/>
    <mergeCell ref="AC56:AE56"/>
    <mergeCell ref="AC95:AE95"/>
    <mergeCell ref="AC96:AE96"/>
    <mergeCell ref="AC69:AE69"/>
    <mergeCell ref="AC70:AE70"/>
    <mergeCell ref="AC71:AE71"/>
    <mergeCell ref="AC72:AE72"/>
    <mergeCell ref="AC73:AE73"/>
    <mergeCell ref="AC74:AE74"/>
    <mergeCell ref="AC91:AE91"/>
    <mergeCell ref="AC85:AE85"/>
    <mergeCell ref="AA86:AB86"/>
    <mergeCell ref="AC75:AE75"/>
    <mergeCell ref="AC76:AE76"/>
    <mergeCell ref="AC77:AE77"/>
    <mergeCell ref="AC78:AE78"/>
    <mergeCell ref="AC79:AE79"/>
    <mergeCell ref="AC80:AE80"/>
    <mergeCell ref="AC81:AE81"/>
    <mergeCell ref="AC100:AE100"/>
    <mergeCell ref="AC86:AE86"/>
    <mergeCell ref="AC87:AE87"/>
    <mergeCell ref="AC88:AE88"/>
    <mergeCell ref="AC89:AE89"/>
    <mergeCell ref="AC90:AE90"/>
    <mergeCell ref="AC92:AE92"/>
    <mergeCell ref="AA88:AB88"/>
    <mergeCell ref="AA72:AB72"/>
    <mergeCell ref="AA73:AB73"/>
    <mergeCell ref="AA74:AB74"/>
    <mergeCell ref="AA75:AB75"/>
    <mergeCell ref="AA76:AB76"/>
    <mergeCell ref="AA77:AB77"/>
    <mergeCell ref="AC82:AE82"/>
    <mergeCell ref="AA106:AB106"/>
    <mergeCell ref="AA89:AB89"/>
    <mergeCell ref="AA90:AB90"/>
    <mergeCell ref="AA91:AB91"/>
    <mergeCell ref="AA92:AB92"/>
    <mergeCell ref="AA93:AB93"/>
    <mergeCell ref="AA94:AB94"/>
    <mergeCell ref="AA103:AB103"/>
    <mergeCell ref="AA104:AB104"/>
    <mergeCell ref="AA105:AB105"/>
    <mergeCell ref="AA95:AB95"/>
    <mergeCell ref="AA99:AB99"/>
    <mergeCell ref="AA100:AB100"/>
    <mergeCell ref="AA101:AB101"/>
    <mergeCell ref="AA96:AB96"/>
    <mergeCell ref="AC97:AE97"/>
    <mergeCell ref="AA85:AB85"/>
    <mergeCell ref="AA115:AB115"/>
    <mergeCell ref="B115:C115"/>
    <mergeCell ref="B111:C111"/>
    <mergeCell ref="B110:C110"/>
    <mergeCell ref="AC111:AE111"/>
    <mergeCell ref="AC112:AE112"/>
    <mergeCell ref="AC113:AE113"/>
    <mergeCell ref="AC114:AE114"/>
    <mergeCell ref="AC102:AE102"/>
    <mergeCell ref="AC103:AE103"/>
    <mergeCell ref="AC104:AE104"/>
    <mergeCell ref="AC105:AE105"/>
    <mergeCell ref="AC106:AE106"/>
    <mergeCell ref="AC107:AE107"/>
    <mergeCell ref="AC108:AE108"/>
    <mergeCell ref="AC109:AE109"/>
    <mergeCell ref="AC110:AE110"/>
    <mergeCell ref="AA107:AB107"/>
    <mergeCell ref="AA108:AB108"/>
    <mergeCell ref="AA109:AB109"/>
    <mergeCell ref="AA110:AB110"/>
    <mergeCell ref="AA111:AB111"/>
    <mergeCell ref="AA112:AB112"/>
    <mergeCell ref="AA113:AB113"/>
  </mergeCells>
  <printOptions horizontalCentered="1"/>
  <pageMargins left="0.6692913385826772" right="0.35433070866141736" top="0.43307086614173229" bottom="0.39370078740157483" header="0" footer="0"/>
  <pageSetup paperSize="9" scale="10" firstPageNumber="0" fitToWidth="0" fitToHeight="0" orientation="landscape" horizontalDpi="300" verticalDpi="300" r:id="rId1"/>
  <headerFooter differentFirst="1" alignWithMargins="0">
    <oddHeader>&amp;C&amp;"Times New Roman,обычный"&amp;54&amp;P</oddHeader>
  </headerFooter>
  <rowBreaks count="1" manualBreakCount="1">
    <brk id="62" max="88" man="1"/>
  </rowBreaks>
  <colBreaks count="14" manualBreakCount="14">
    <brk id="9" max="1048575" man="1"/>
    <brk id="14" max="114" man="1"/>
    <brk id="23" max="114" man="1"/>
    <brk id="26" max="114" man="1"/>
    <brk id="28" max="114" man="1"/>
    <brk id="33" max="114" man="1"/>
    <brk id="41" max="115" man="1"/>
    <brk id="46" max="115" man="1"/>
    <brk id="51" max="114" man="1"/>
    <brk id="59" max="115" man="1"/>
    <brk id="67" max="114" man="1"/>
    <brk id="74" max="114" man="1"/>
    <brk id="81" max="115" man="1"/>
    <brk id="87" max="1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</vt:lpstr>
      <vt:lpstr>'Дод 5'!Заголовки_для_печати</vt:lpstr>
      <vt:lpstr>'Дод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2020-08-07T07:58:38Z</cp:lastPrinted>
  <dcterms:created xsi:type="dcterms:W3CDTF">2015-09-22T09:14:37Z</dcterms:created>
  <dcterms:modified xsi:type="dcterms:W3CDTF">2020-08-07T07:59:04Z</dcterms:modified>
</cp:coreProperties>
</file>