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0890" windowHeight="9765" activeTab="0"/>
  </bookViews>
  <sheets>
    <sheet name="7" sheetId="1" r:id="rId1"/>
  </sheets>
  <definedNames>
    <definedName name="_GoBack" localSheetId="0">'7'!#REF!</definedName>
    <definedName name="Z_48EF5860_4203_47F1_8497_6BEAE9FC7DAC_.wvu.Cols" localSheetId="0" hidden="1">'7'!#REF!</definedName>
    <definedName name="Z_48EF5860_4203_47F1_8497_6BEAE9FC7DAC_.wvu.PrintArea" localSheetId="0" hidden="1">'7'!$A$1:$I$837</definedName>
    <definedName name="Z_48EF5860_4203_47F1_8497_6BEAE9FC7DAC_.wvu.PrintTitles" localSheetId="0" hidden="1">'7'!$D:$E,'7'!#REF!</definedName>
    <definedName name="Z_96E2A35E_4A48_419F_9E38_8CEFA5D27C66_.wvu.Cols" localSheetId="0" hidden="1">'7'!#REF!</definedName>
    <definedName name="Z_96E2A35E_4A48_419F_9E38_8CEFA5D27C66_.wvu.PrintArea" localSheetId="0" hidden="1">'7'!$A$1:$I$837</definedName>
    <definedName name="Z_96E2A35E_4A48_419F_9E38_8CEFA5D27C66_.wvu.PrintTitles" localSheetId="0" hidden="1">'7'!$D:$E,'7'!#REF!</definedName>
    <definedName name="Z_ABBD498D_3D2F_4E62_985A_EF1DC4D9DC47_.wvu.Cols" localSheetId="0" hidden="1">'7'!#REF!</definedName>
    <definedName name="Z_ABBD498D_3D2F_4E62_985A_EF1DC4D9DC47_.wvu.PrintArea" localSheetId="0" hidden="1">'7'!$A$1:$I$837</definedName>
    <definedName name="Z_ABBD498D_3D2F_4E62_985A_EF1DC4D9DC47_.wvu.PrintTitles" localSheetId="0" hidden="1">'7'!$D:$E,'7'!#REF!</definedName>
    <definedName name="Z_D712F871_6858_44B8_AA22_8F2C734047E2_.wvu.Cols" localSheetId="0" hidden="1">'7'!#REF!</definedName>
    <definedName name="Z_D712F871_6858_44B8_AA22_8F2C734047E2_.wvu.PrintArea" localSheetId="0" hidden="1">'7'!$A$1:$I$837</definedName>
    <definedName name="Z_D712F871_6858_44B8_AA22_8F2C734047E2_.wvu.PrintTitles" localSheetId="0" hidden="1">'7'!$D:$E,'7'!#REF!</definedName>
    <definedName name="Z_E02D48B6_D0D9_4E6E_B70D_8E13580A6528_.wvu.Cols" localSheetId="0" hidden="1">'7'!#REF!</definedName>
    <definedName name="Z_E02D48B6_D0D9_4E6E_B70D_8E13580A6528_.wvu.PrintArea" localSheetId="0" hidden="1">'7'!$A$1:$I$837</definedName>
    <definedName name="Z_E02D48B6_D0D9_4E6E_B70D_8E13580A6528_.wvu.PrintTitles" localSheetId="0" hidden="1">'7'!$D:$E,'7'!#REF!</definedName>
    <definedName name="_xlnm.Print_Titles" localSheetId="0">'7'!$6:$7</definedName>
    <definedName name="_xlnm.Print_Area" localSheetId="0">'7'!$A$1:$I$832</definedName>
  </definedNames>
  <calcPr fullCalcOnLoad="1"/>
</workbook>
</file>

<file path=xl/sharedStrings.xml><?xml version="1.0" encoding="utf-8"?>
<sst xmlns="http://schemas.openxmlformats.org/spreadsheetml/2006/main" count="1265" uniqueCount="811">
  <si>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смт. Обухівка,
вул. Солідарності, 49 (у т.ч. ПКД)</t>
  </si>
  <si>
    <t>Реконструкція вузла обліку витрат природного газу об’єкту – комунального закладу „Криворізький психоневрологічний інтернат” Дніпропетровської  обласної ради” за адресою по вул.Треньова, б.15, м. Кривий Ріг</t>
  </si>
  <si>
    <t>Технічне переоснащення котельні Комунального закладу „Стародобровільського психоневрологічного інтернату” Дніпропетровської обласної ради”, Дніпропетровська обл., Широківський р-он, с. Стародобровільське, вул. Степове, 2-В</t>
  </si>
  <si>
    <t>Виготовлення проектно-кошторисної документації на реставрацію великої концертної зали КП „Дніпропетровська філармонія імені Л.Б. Когана” ДОР” за адресою: м. Дніпро, вул.Воскресенська, 6</t>
  </si>
  <si>
    <t>Реставрація великої концертної зали у будинку КП „Дніпропетровська філармонія імені Л.Б. Когана” ДОР” за адресою: м. Дніпро, вул. Воскресенська, 6</t>
  </si>
  <si>
    <t>Реконструкція ділянки підвідного водогону для водопостачання сіл Орджонікідзе та Миколаївка Дніпропетровського району Дніпропетровської області (в т. ч. ПКД та експертиза)</t>
  </si>
  <si>
    <t>Реконструкція системи водопостачання с. Майорка Дніпропетровського району
(у т. ч. ПКД та експертиза)</t>
  </si>
  <si>
    <t>Реконструкція житлового будинку № 118а по вул. Комсомольській в смт Царичанка Царичанського району Дніпропетровської області (у т. ч. ПКД та експертиза)</t>
  </si>
  <si>
    <t>Реконструкція магістрального водогону від м. Кривий Ріг – с. Веселе Криворізького району (у т.ч. ПКД та експертиза)</t>
  </si>
  <si>
    <t>Нове будівництво автодороги від мкр-ну Сонячний до вул. Спаської у м. Кривий Ріг Дніпропетровської області (у т.ч. ПКД та експертиза)</t>
  </si>
  <si>
    <t>Комплексна термомодернізація будівлі КЗ „Дніпропетровська міська дитяча клінічна лікарня № 1 - Дніпропетровської обласної ради” у м. Дніпро ‒ реконструкція (у т.ч. ПКД та експертиза)</t>
  </si>
  <si>
    <t>Реконструкція стадіону КЗ „Нікопольська середня загальньоосвітня школа
І – ІІІ ступенів № 19” м. Нікополь, вул. Добролюбова, 47 ( у т.ч. ПКД)</t>
  </si>
  <si>
    <t>Реконструкція стадіону КЗ „Нікопольська середня загальньоосвітня школа
І – ІІІ ступенів № 2” м. Нікополь, вул. Героїв Чорнобиля, 68 (у т.ч. ПКД)</t>
  </si>
  <si>
    <t>Реконструкція стадіону КЗ „Спеціалізована природничо-математична школа
І – ІІІ ступенів при Дніпропетровському Національному університеті ім. О. Гончара”
м. Нікополь, вул. Каштанова, 62 (у т.ч. ПКД)</t>
  </si>
  <si>
    <t>Будівництво ЗОШ № 13 по вул. Спаська, 42 в м. Новомосковськ, Дніпропетровської області (у т.ч. ПКД)</t>
  </si>
  <si>
    <t>Реконструкція комунального закладу  „Навчально-виховний комплекс № 2 (середня школа I – III ступенів – дошкільний навчальний заклад) м. Покров Дніпропетровської області” вул. Л.Чайкіної, буд. 15 (у т.ч. ПКД)</t>
  </si>
  <si>
    <t>Реконструкція стадіону на території комунального закладу  „Навчально-виховний комплекс № 2 (середня школа I – III ступенів – дошкільний навчальний заклад) 
м. Покров Дніпропетровської області ” вул. Л.Чайкіної, буд. 15 (у т.ч. ПКД)</t>
  </si>
  <si>
    <r>
      <t xml:space="preserve">Реконструкція </t>
    </r>
    <r>
      <rPr>
        <sz val="12"/>
        <rFont val="Times New Roman"/>
        <family val="1"/>
      </rPr>
      <t>будівель та споруд стадіону комунального закладу Верхівцевський НВК „Середня загальноосвітня школа № 1– дошкільний навчальний заклад” Верхньодніпровської районної ради (у т.ч. ПКД)</t>
    </r>
  </si>
  <si>
    <t>Реконструкція спортивної  зали КЗ „Верхівцевська СЗШ № 2 І – ІІІ ст.” за адресою: вул. Зелена, 3, м. Верхівцево Верхньодніпровського району Дніпропетровської області (у тому числі ПКД)</t>
  </si>
  <si>
    <t>Будівництво навчально-виховного комплексу на території КЗ „Обухівська загальноосвітня школа № 2 І – ІІІ ступенів” Дніпровської районної ради Дніпропетровської області”, розташованої за адресою: смт Обухівка,
вул. Солідарності, 49 (у т.ч. ПКД)</t>
  </si>
  <si>
    <t>Реконструкція Глеюватського дитячого садка по вул. Кірова, 2а, с. Глеюватка Криворізького району Дніпропетровської області (у т.ч. ПКД)</t>
  </si>
  <si>
    <t>Реконструкція стадіону КЗО „Божедарівська середня загальноосвітня школа
І – ІІІ ступенів” Криничанської районної ради (чотири філії),вул. Лагерна, 14-Б,
смт Щорськ, Криничанський район, Дніпропетровська область (у  т.ч. ПКД)</t>
  </si>
  <si>
    <t>Реконструкція стадіону Петропавлівської ЗОШ № 2 смт Петропавлівка Петропавлівського району Дніпропетровської області (у т.ч. ПКД)</t>
  </si>
  <si>
    <t>Реконструкція стадіону Петриківської школи з профільним виробничим навчанням
І – ІІІ ступенів по проспекту Петра Калнишевського, 71а в 
смт Петриківка Петриківського району Дніпропетровської області ( у т.ч. ПКД)</t>
  </si>
  <si>
    <t>Реконструкція будівлі поліклініки № 1 під хірургічне відділення КЗ „Дніпропетровський спеціалізований клінічний медичний центр матері та дитини
ім. проф. М.Ф. Руднєва” ДОР” по проспекту Пушкіна, 26 у м. Дніпропетровську, в т.ч. ПКД</t>
  </si>
  <si>
    <t>Коригування проекту „Реконструкція м’якої покрівлі під шатровий дах із металочерепиці з утепленням фасадів корпусів КЗ „Дніпропетровська міська багатопрофільна клінічна лікарня № 4” ДОР” під „Реконструкція частини м’якої покрівлі під шатровий дах із металочерепиці з утепленням фасадів корпусів та влаштуванням центру реабілітації КЗ „Дніпропетровська міська багатопрофільна клінічна лікарня № 4” ДОР (у т.ч. ПКД)</t>
  </si>
  <si>
    <t>Реконструкція будівлі стаціонару та поліклініки комунального закладу „Клінічний онкологічний диспансер” ДОР по вул. Космічній, 21 у м. Дніпропетровську. (Покрівля, фасади, заповнення віконних та дверних прорізів, благоустрій)</t>
  </si>
  <si>
    <t>Будівництво будівлі під амбулаторію ЗПСМ КЗ „Нікопольський центр первинної медико-санітарної допомоги” по вул. Чалого, м. Нікополь (у т.ч. ПКД)</t>
  </si>
  <si>
    <t>Будівництво спортивно-оздоровчого комплексу на території парку Перемоги в
м. Нікополь по вул. Херсонська. Зовнішні інженерні мережі (у т.ч.  ПКД)</t>
  </si>
  <si>
    <t>Реконструкція  існуючої трансформаторної підстанції ТП-197 по вул. Херсонська у м. Нікополь, Дніпропетровської області (у т.ч. ПКД)</t>
  </si>
  <si>
    <t>Реконструкція  стадіону „Металург”, розташованого за адресою: вул. Паланочна, 6/1, м. Новомосковськ, Дніпропетровської області (у т.ч. ПКД)</t>
  </si>
  <si>
    <t>Реконструкція  КБУ „Фізкультурно-спортивний комплекс ім. В.М. Шкуренко” по вул. Корольова Сергія, 1А, м. Павлоград  (у т.ч. ПКД)</t>
  </si>
  <si>
    <t>Реконструкція  комунального закладу „Комунальний позашкільний навчальний заклад „Дитячо-юнацька спортивна школа   м. Покров Дніпропетровської області” вул. Горького, буд. 12 (у т.ч. 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</si>
  <si>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 ПКД)</t>
  </si>
  <si>
    <t>Реконструкція комунального закладу спорткомплекс „Дніпровець” за адресою:
вул. Набережна, 1 в, сел. Дніпровське Верхньодніпровський район  (у т.ч. ПКД)</t>
  </si>
  <si>
    <t>Реконструкція глядацьких трибун з улаштуванням навісу фізкультурно-спортивного комплексу ім. А. Скорука по вул. Б. Хмельницького, 48а в смт Томаківка Томаківського району ( у т.ч. ПКД)</t>
  </si>
  <si>
    <t>Будівництво 3-х п’ятиповерхових житлових будинків під соціальне житло по
вул. Нова та вул. Шатрова в м. П’ятихатки Дніпропетровської області, у т.ч. ПКД</t>
  </si>
  <si>
    <t>Троїцький собор в м. Новомосковську – реставрація. Коригування (у т.ч. ПКД)</t>
  </si>
  <si>
    <t>Реконструкція стадіону, розташованого на території КПНЗ „Дитячо-юнацька спортивна школа № 3” Криворізької міської ради по вул. Зарічній, 3 у м. Кривий Ріг Дніпропетровської області (у т. ч. ПКД)</t>
  </si>
  <si>
    <t>Реконструкція будівлі КПНЗ „Палац дитячої та юнацької творчості Центрально-Міського району” Криворізької міської ради, м. Кривий Ріг Дніпропетровської області (у т.ч. ПКД)</t>
  </si>
  <si>
    <t>Реконструкція першого поверху терапевтичного корпусу під відділення невідкладної (екстреної) медичної допомоги КЗ  „Дніпропетровське клінічне об’єднання швидкої медичної допомоги” Дніпропетровської обласної ради” по вул. Свердлова, 65
м. Дніпропетровську (у т.ч. ПКД)</t>
  </si>
  <si>
    <t>Реконструкція нежитлового приміщення КЗ „Дніпровський центр первинної медико-санітарної допомоги № 4” за адресою: вул. Сімферопольська 19, м. Дніпро, під розміщення амбулаторії загальної практики сімейної медицини  (у т.ч. ПКД)</t>
  </si>
  <si>
    <t>Приміщення під амбулаторію № 7 „Центру первинної медико-санітарної допомоги № 3” за адресою: мкр.7 Зарічний, 9а, м. Кривий Ріг – реконструкція (у т.ч. ПКД)</t>
  </si>
  <si>
    <t>Реконструкція приміщень під амбулаторію № 4 „Центру первинної медико-санітарної допомоги № 2” по вул. Електрозаводській, 22а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</si>
  <si>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4” по вул. Павлика Морозова,15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</si>
  <si>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5” у Військовому містечку-33, 14 в м. Кривий Ріг Дніпропетровської області (у т.ч. ПКД)</t>
  </si>
  <si>
    <t>Реконструкція комунального закладу „Дошкільний навчальний заклад (ясла-садок) – центр розвитку дитини № 27 „Орлятко” Кам’янської міської ради за адресою: просп. Наддніпрянський, 5  (у т.ч. ПКД)</t>
  </si>
  <si>
    <t>Будівництво амбулаторії на 1-2 лікаря з житлом за адресою: Дніпропетровська область, Межівський район, с. Іванівка, вул. Центральна, 64 (у т.ч. ПКД)</t>
  </si>
  <si>
    <t>Будівництво амбулаторії на 3-4 лікаря без житла за адресою: Дніпропетровська область, Петропавлівський район, в с. Миколаївка, вул. Шкільна, 9 (у т.ч. ПКД)</t>
  </si>
  <si>
    <t>Будівництво амбулаторії на 1-2 лікаря з житлом за адресою: Дніпропетровська область,  Софіївський район, в с. Вакулове, вул. Каштанова, 32 (у т.ч. ПКД)</t>
  </si>
  <si>
    <t>Будівництво амбулаторії на 3-4 лікаря без житла за адресою: Дніпропетровська область, Томаківський район, смт. Томаківка, вул. Шосейна,11 (у т.ч. ПКД)</t>
  </si>
  <si>
    <t>Будівництво амбулаторії на 1-2 лікаря без житла за адресою: Дніпропетровська область, Широківський район, в с. Шестірня,  вул. Українська, 62 (у т.ч. ПКД)</t>
  </si>
  <si>
    <t>Реконструкція системи гарячого водопостачання та опалення з встановленням геліосистеми в комунальному закладі „Марганецька спеціалізована
школа І – ІІІ ступенів № 2 з поглибленим вивченням англійської мови Марганецької міської ради Дніпропетровської області” по вул. Садова,18 в м. Марганець Дніпропетровської області ( у т. ч. ПКД та експертиза)</t>
  </si>
  <si>
    <t>Реконструкція системи гарячого водопостачання та опалення з встановленням геліосистеми в комунальному дошкільному навчальному закладі (ясла-садок)  загального розвитку № 7 „Івушка” Підгородненської міської ради по вул. Шосейна, 99-а в м. Підгородне Дніпровського району Дніпропетровської області (у т. ч. ПКД та експертиза)</t>
  </si>
  <si>
    <t>Реконструкція системи гарячого водопостачання та опалення з встановленням геліосистеми в комунальному закладі „Любимівська загальноосвітня
школа І – ІІІ ступенів Дніпровської районної ради Дніпропетровської області”  по вул. Садова,1 в с. Любимівка  Дніпровського  району Дніпропетровської області (у т. ч. ПКД та експертиза)</t>
  </si>
  <si>
    <t>Будівництво комунального дошкільного навчального закладу за адресою:
вулиця Київська, буд. 169, м. Марганець, Дніпропетровської області (у т.ч. ПКД)</t>
  </si>
  <si>
    <t>Реконструкція комунального закладу „Слобожанська загальноосвітня школа
I ступеня № 2 Слобожанської селищної ради” по вул. Теплична, 30, 30а в
смт. Слобожанське Дніпровського району</t>
  </si>
  <si>
    <t>Реконструкція комунального дитячого закладу оздоровлення та відпочинку Дніпровського району „Ювілейний” (у т.ч. ПКД)</t>
  </si>
  <si>
    <t>Реконструкція покрівлі будівель комунального закладу „Верхівцевська міська лікарня” Верхньодніпровської районної ради, м. Верхівцеве, вул. Покровська, 2</t>
  </si>
  <si>
    <t>Реконструкція вузла обліку газу об’єкту за адресою: Дніпропетровська область,
м. Верхньодніпровськ, вул. Гагаріна, 16 КЗ „Обласний центр екстреної медичної допомоги та медицини катастроф” ДОР”</t>
  </si>
  <si>
    <t xml:space="preserve">Реконструкція вузла обліку газу КЗ „Новомиколаївська туберкульозна лікарня” ДОР” </t>
  </si>
  <si>
    <t>Реконструкція приміщень будівлі консультативної поліклініки КЗ „Дніпропетровська обласна клінічна лікарня ім. І.І. Мечникова” під центр інноваційної хірургії за адресою: пл. Соборна, 14, м. Дніпро</t>
  </si>
  <si>
    <t>Реконструкція комунікаційної мережі для системи медичного обладнання операційних нового хірургічного корпусу КЗ „Дніпропетровська обласна клінічна лікарня ім. І.І. Мечникова” за адресою: пл. Соборна,14 м Дніпро</t>
  </si>
  <si>
    <t>Реконструкція газопостачання підприємства КЗ „Обласний центр екстреної медичної допомоги та медицини катастроф” ДОР” за адресою: м. Дніпро,
вул. Каруни, буд. 93</t>
  </si>
  <si>
    <t>Реконструкція вузла комерційного обліку витрат природного газу (з ПКД) КЗ „Кам’янський протитуберкульозний диспансер” ДОР” за адресою
смт. Новомиколаївка, вул. Калініна, 2</t>
  </si>
  <si>
    <t>Реконструкція газової котельні КЗ „Панасівський ГП” ДОР за адресою:
вул. Північна, б. 36, с. Панасівка Новомосковського району Дніпропетровської області</t>
  </si>
  <si>
    <t>Реконструкція котельні КЗ „Верхівцевський психоневрологічний інтернат” ДОР в
м. Верхівцеве Верхньодніпровського району Дніпропетровської області</t>
  </si>
  <si>
    <t>Підготовка кадрів вищими навчальними закладами І – ІІ рівнів акредитації (коледжами, технікумами, училищами)</t>
  </si>
  <si>
    <t>Підготовка кадрів вищими навчальними закладами ІІІ – ІV рівнів акредитації (університетами, академіями, інститутами)</t>
  </si>
  <si>
    <t>Реконструкція комерційного вузла обліку газу за адресою: пр. Д. Яворницького, 47</t>
  </si>
  <si>
    <t>Протиаварійні роботи пам’ятки історії місцевого значення охор. № 1525 – будівля музею „Літературне Придніпров’я” за адресою: м. Дніпро, просп. Дмитра Яворницького, 64</t>
  </si>
  <si>
    <t xml:space="preserve">Реставрація фасадів пам’ятки архітектури Національного значення, КПК „Дніпровський академічний театр драми та комедії” Дніпропетровської обласної ради, за адресою: м. Дніпро, пр. Дмитра Яворницького, 97 </t>
  </si>
  <si>
    <t xml:space="preserve">Реконструкція вузла обліку газу будівлі КПК „ Дніпровський академічний театр драми  та комедії” Дніпропетровської обласної ради за адресою:  м. Дніпро,
пр. Дмитра Яворницького, 97 </t>
  </si>
  <si>
    <t>Виготовлення проектно-кошторисної документації на реконструкцію технічного приміщення під санвузол для осіб з інвалідністю та інших маломобільних груп населення в будівлі Комунального закладу культури „Дніпровський академічний український музично-драматичний театр ім. Т.Г. Шевченка” Дніпропетровської обласної ради”, за адресою: м. Дніпро, вул. Воскресенська, буд. 5</t>
  </si>
  <si>
    <t>Реконструкція зони відпочинку  в районі вулиці Бульварної м. Марганець Дніпропетровської області у т.ч. експертиза та виготовлення ПКД)</t>
  </si>
  <si>
    <t>Реконструкція міського парку ім. Б. Мозолевського в  м. Орджонікідзе Дніпропетровської області (у т.ч. ПКД та експертиза)</t>
  </si>
  <si>
    <t>Реконструкція та комплексний благоустрій вул. Пушкіна в м. Першотравенськ Дніпропетровської області  (у т.ч. ПКД та експертиза)</t>
  </si>
  <si>
    <t>Будівництво набережної по вул. Паланочній від житлового будинку № 69 до
вул. Леваневського в м. Новомосковську. Коригування (у т.ч. ПКД та експертиза)</t>
  </si>
  <si>
    <t>Реконструкція мереж вуличного освітлення по вул. Центральна, Високий Хутір в
смт Миколаївка Петриківського району Дніпропетровської області з встановленням ефективних енергозберігаючих світильників</t>
  </si>
  <si>
    <t>П’ятихатський район</t>
  </si>
  <si>
    <t>Реконструкція міського парку м. П’ятихатки Дніпропетровської області  (у т.ч. ПКД та експертиза)</t>
  </si>
  <si>
    <t xml:space="preserve">Реконструкція водоводів № 2, № 3 комунального підприємства Дніпропетровської обласної ради „Аульський водовід”, ПК-325 </t>
  </si>
  <si>
    <t>Будівництво пішохідного мосту через річку Вовча з  вул. Хижняка (в районі житлового будинку № 45) в м. Павлограді Дніпропетровської області (у т.ч. ПКД та експертиза)</t>
  </si>
  <si>
    <t>Реконструкція блоку фільтрів та відстойників на насосно-фільтрувальній станції МКП „Орджонікідзевське ВУВКГ” (у т.ч. ПКД та експертиза)</t>
  </si>
  <si>
    <t>Нове будівництво підвідного водогону Грушівка (Ленінське) – Мар’янське Апостолівського району (у т. ч. ПКД та експертиза)</t>
  </si>
  <si>
    <t>Реконструкція водпровідних мереж м. Верхньодніпровськ (у т.ч. ПКД та експертиза)</t>
  </si>
  <si>
    <t>Будівництво водопровідної мережі в с. Сурсько-Литовське Дніпропетровської області. (у т. ч. ПКД та експертиза)</t>
  </si>
  <si>
    <t>Реконструкція насосної станції №1 для водопостачання с. Любимівка на території Любимівської сільської ради  Дніпропетровського району (у т. ч. ПКД та експертиза)</t>
  </si>
  <si>
    <t>Реконструкція насосної станції № 2 з заміною технологічного устаткування на території Любимівської сільської ради  Дніпропетровського району (у т. ч. ПКД та експертиза)</t>
  </si>
  <si>
    <t>Реконструкція насосної станції № 3  та ділянки водогону від НС для водопостачання с. Перше Травня на території Любимівської сільської ради  Дніпропетровського району (у т. ч. ПКД та експертиза)</t>
  </si>
  <si>
    <t>Каналізація м. Підгородне Дніпровського району – будівнитцво (у т. ч. ПКД та експертиза)</t>
  </si>
  <si>
    <t>Реконструкція насосної станції № 2 з ремонтом будівлі та заміною електротехнічного устаткування на території Любимівської сільської ради  Дніпропетровського району (в т. ч. ПКД та експертиза)</t>
  </si>
  <si>
    <t>Будівництво розвідних водопровідних мереж с. Бикове Криничанського району
(у т.ч. ПКД та експертиза)</t>
  </si>
  <si>
    <t>Реконструкція мереж водопостачання с. Оленівка, Магдалинівського району Дніпропетровської області (у т.ч. ПКД та експертиза)</t>
  </si>
  <si>
    <t>Реконструкція водогонів м. Верхівцеве (водопостачання північної сторони міста)
(у т.ч. ПКД та експертиза)</t>
  </si>
  <si>
    <t>Реконструкція котельні Межівської СЗШ I – III ступенів № 1 Межівського району Дніпропетровської області, смт Межова, вул. Учительська, 7, установка додаткового котла на твердому паливі в існуючій котельні  (у т. ч. ПКД та експертиза)</t>
  </si>
  <si>
    <t>Підвідний водовід до села Новоселівка Новомосковського району – будівництво
(у т.ч. ПКД та експертиза)</t>
  </si>
  <si>
    <t>Реконструкція котельні № 9 та теплових мереж  дочірнього підприємства „Петриківкатеплоенерго”  комунального підприємства „Дніпротеплоенерго” Дніпропетровської обласної ради” по вул. Кірова, 78А, с. Іванівка Петриківського району</t>
  </si>
  <si>
    <t xml:space="preserve">Реконструкція ділянок магістрального водоводу Макорти – НФС – м. П’ятихатки Дніпропетровської області </t>
  </si>
  <si>
    <t>Нове будівництво магістрального водогону Кринички – Затишне – Гуляйполе Криничанського району Дніпропетровської області (у т.ч. ПКД та експертиза)</t>
  </si>
  <si>
    <t>Реконструкція парку Гірників по вул. І. Малки в м. Покров Дніпропетровської області (у т.ч. ПКД та експертиза)</t>
  </si>
  <si>
    <t>Будівництво системи водопостачання об’єднаних громад сіл Новомиколаївка, Сурсько-Литовське, Сурсько-Клевцеве та Зелений Гай  Дніпропетровського району Дніпропетровської області (у т. ч. ПКД та експертиза)</t>
  </si>
  <si>
    <t>Реконструкція підвідного водоводу Нікополь – Південне в Нікопольському районі Дніпропетровської області (у т.ч. ПКД та експертиза)</t>
  </si>
  <si>
    <t>Нове будівництво водогону від ІІ підйому до с.Виводове Томаківського району
(у т.ч. ПКД та експертиза)</t>
  </si>
  <si>
    <t>Нове будівництво підвідного водоводу Кривий Ріг – Зелений Гай Широківського району Дніпропетровської області (у т.ч. ПКД та експертиза)</t>
  </si>
  <si>
    <t>Реконструкція 3-го підйому по вул. Альпова, 3 в м. Нікополь (коригування)</t>
  </si>
  <si>
    <t>Реконструкція парку Перемоги по пр. Трубників в м. Нікополь Дніпропетровської області  (у т.ч. ПКД та експертиза)</t>
  </si>
  <si>
    <t>Водопостачання с. Червоне,  Калініна,  Гомельське, Рудничне Криворізького
району – реконструкція (у т.ч. ПКД та експертиза)</t>
  </si>
  <si>
    <t>Реконструкція водоочисних споруд в с. Голубівка Новомосковського району
(у т.ч. експертиза та ПКД)</t>
  </si>
  <si>
    <t>Будівництво водоводу (с. Новоолексіївка) Новоолексіївської сільської ради,
(с. Євдокіївка,  с. Мар’ївка, с. Павлівка, с. Леніне, с. Калашники) Жовтневої сільської ради Софіївського району Дніпропетровської області (у т.ч. ПКД та експертиза)</t>
  </si>
  <si>
    <t>Реконструкція вулиці Центральної та площі ім. І. Сірка в м. Орджонікідзе Дніпропетровської області (у тому числі виготовлення ПКД та експертиза)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</si>
  <si>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км 1+800 - км 3+700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</si>
  <si>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км 0+000 - км 1+800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</si>
  <si>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транспортна розв'язка в двох рівнях на перетині з автомобільною дорогою Під’їзд до аеропорту „Дніпро”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</si>
  <si>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км 3+700 - км 4+200</t>
  </si>
  <si>
    <t xml:space="preserve"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транспортна розв'язка в двох рівнях на км 0+000 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</si>
  <si>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перевлаштування комунікацій на ділянці км 3+673 - км 3+726</t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</si>
  <si>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штучні споруди для проїзду сільгосптехніки</t>
  </si>
  <si>
    <t>Реконструкція частини скверу Героїв для інклюзивного дитячого майданчику в 
м. Дніпро (у т.ч. ПКД)</t>
  </si>
  <si>
    <t>Будівництво ДНЗ на 220 місць для КЗО „СЗШ № 25” ДМР, за адресою: м. Дніпро, вул. Кротова, 61 (у т.ч. ПКД)</t>
  </si>
  <si>
    <t>Реконструкція плавального басейну КЗО „Загальноосвітня санаторна школа-інтернат № 3” ДОР по вул. Прапорна, 25, м. Дніпропетровськ (у т.ч. ПКД)</t>
  </si>
  <si>
    <t>Реконструкція ДНЗ № 254 по вул. Альвінського, 1, м. Дніпро (у т.ч. ПКД)</t>
  </si>
  <si>
    <t>Реконструкція ДНЗ № 41 по вул. Молодогвардійській, 24д, м. Дніпро (у т.ч. ПКД)</t>
  </si>
  <si>
    <t>Реконструкція стадіону  КЗ освіти „Навчально-виховний комплекс № 104” „Середня загальноосвітня школа – дошкільний навчальний заклад (ясла-садок)” Дніпровської міської ради, м. Дніпро, вул. Ясенова, 65, Дніпропетровська область (у т.ч. ПКД)</t>
  </si>
  <si>
    <t>Будівництво комунального закладу „Заклад дошкільної освіти (ясла-садок) № 47 „Горобинка” Камя’нської міської ради по вул. Воїнів-афганців, 16А, м.Кам’янське, Дніпропетровської області (у т.ч. ПКД)</t>
  </si>
  <si>
    <t>Реконструкція дошкільного закладу № 243, Жовтневий район, вул. Кропивницького, 65, м. Кривий Ріг  (у т.ч. ПКД)</t>
  </si>
  <si>
    <t>Реконструкція КЗ ДНЗ № 20 „Буратино” за адресою: м. Марганець, вул. Східний квартал, 12а (у т.ч. ПКД)</t>
  </si>
  <si>
    <t>Будівництво КДНЗ санаторного типу „Дивограй” за адресою: м. Нікополь, вул. Івана Куценка (у т.ч. ПКД)</t>
  </si>
  <si>
    <t>Рекострукція стадіону комунального закладу „Нікопольська середня загальноосвітня школа І – ІІ ступенів № 14” за адресою: Дніпропетровська область, м. Нікополь,
вул. Гайдамацька, 33 (у т.ч. ПКД)</t>
  </si>
  <si>
    <t>Реконструкція будівлі ЗШ № 2 (корпус 2)  для подальшого переводу в НВК № 2 по вул. Полтавська, 148 (замість вул. Московська, 123),  м. Павлоград Дніпропетровської області (коригування), у т.ч. ПКД</t>
  </si>
  <si>
    <t>Реконструкція НВК № 1 ім. Коцюбинського смт Васильківка Васильківського району Дніпропетровської області (у т.ч. ПКД)</t>
  </si>
  <si>
    <t>Реконструкція котельні КЗ „Верхівцевська СЗШ № 2 І – ІІІ ст.” за адресою:
вул. Зелена, 3, м. Верхівцево Верхньодніпровського району Дніпропетровської області (у т.ч.ПКД)</t>
  </si>
  <si>
    <t>Реконструкція котельні КЗ „Ганнівський НВК „Середня загальноосвітня школа-дошкільний навчальний заклад” Верхньодніпровської районної ради” за адресою: Дніпропетровська область, Верхньодніпровський район, с. Ганнівка, вул. Янцева, 59А (у т.ч. ПКД)</t>
  </si>
  <si>
    <t>Реконструкція КЗ „Волоська загальноосвітня школа I – III ступенів” за адресою:
сел. Волоське, вул. Набережна, 42, Дніпровського району Дніпропетровської області (у т.ч. ПКД)</t>
  </si>
  <si>
    <t>Будівництво ДНЗ на 115 місць за адресою: вул. Шкільна, 17а, с. Чумаки Дніпровського району (у т.ч. ПКД)</t>
  </si>
  <si>
    <t>Реконструкція лівого крила школи с. Котовка Магдалинівського району Дніпропетровської області</t>
  </si>
  <si>
    <t>Будівництво ДНЗ на 80 місць по вул. Б. Хмельницького, 7а  с. Слов’янка Межівського району (у т.ч. ПКД)</t>
  </si>
  <si>
    <t xml:space="preserve">Реконструкція дошкільного навчального закладу по вул. Центральна, 10, в селі Піщанка, Новомосковського району, Дніпропетровської області (у т.ч. ПКД) </t>
  </si>
  <si>
    <t>Реконструкція стадіону та елементів благоустрою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</si>
  <si>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 Виводівської ЗОШ І – ІІІ ступенів з прибудовою двох дошкільних груп, розташованої за адресою: вул. Надії Кулик, 11 с. Виводове, Томаківський район (у т.ч. ПКД)</t>
  </si>
  <si>
    <t>Молодіжнянський навчально-виховний комплекс „Загальноосвітній навчальний заклад І – ІІІ ступенів - дошкільний навчальний заклад” Царичанського району – реконструкція, сел. Молодіжне, вул. Леніна,26 Коригування. (у т.ч.ПКД)</t>
  </si>
  <si>
    <t>Реконструкція будівлі КЗ „Дніпропетровський обласний клінічний центр кардіології та кардіохірургії” ДОР”, (у т.ч. ПКД)</t>
  </si>
  <si>
    <t>Реконструкція систем киснезабезпечення (з улаштуванням автономного джерела) педіатричного та хірургічного корпусів КЗ „Дніпропетровський спеціалізований клінічний медичний центр матері та дитини ім.проф. М.Ф. Руднєва” ДОР по проспекту Пушкіна, 26 у м. Дніпропетровську. Коригування.</t>
  </si>
  <si>
    <t>Реконструкція 1-го психіатричного відділення КЗ „Дніпропетровська клінічна психіатрична лікарня” ДОР” під відділення профілактики та лікування СНІДу,
м. Дніпропетровськ (у т.ч. ПКД)</t>
  </si>
  <si>
    <t>Реконструкція головного корпусу „ДОККЛПО „Фтизіатрія”  вул. Бехтєрєва, 12
м. Дніпропетровськ, у т.ч. ПКД</t>
  </si>
  <si>
    <t>Реконструкція головного корпусу блок № 2 (сходово-ліфтовий вузол) з переходом до блоку № 6 КЗ ДОДКЛ по вул. Космічній, 13, м. Дніпропетровськ (у т.ч. ПКД)</t>
  </si>
  <si>
    <t xml:space="preserve">Реконструкція покрівлі  нового хірургічного корпусу КЗ „Дніпропетровська обласна клінічна лікарня ім. І.І. Мечникова, у т.ч. ПКД  </t>
  </si>
  <si>
    <t>Будівництво нової 2-х трансформаторної підстанції 6/0,4кВ з мережами 6кВ  по
вул. Свердлова у м. Дніпро, у т.ч. ПКД</t>
  </si>
  <si>
    <t>Реконструкція даху головного  корпусу КЗ „Криворізький протитуберкульозний диспансер № 2” ДОР” по вул. Кемерівська, 35, м. Кривий Ріг</t>
  </si>
  <si>
    <t>Реконструкція корпусу КЗ „Криворізька міська лікарня № 3” Дніпропетровської обласної ради по вул. Пушкіна, 13К в м. Кривий Ріг Дніпропетровської області (у т.ч. ПКД)</t>
  </si>
  <si>
    <t>Реконструкція Ляшківського ФАПу КЗ „Царичанського районного ЦПМСД ЦРР” під амбулаторію загальної практики сімейної медицини за адресою: с. Ляшківка,
вул. Соборна,1, Царичанського району, Дніпропетровської області (у т.ч. ПКД)</t>
  </si>
  <si>
    <t>Реконструкція ТП стадіону „Трудові резерви”, м. Дніпропетровськ, у т.ч. ПКД</t>
  </si>
  <si>
    <t>Реконструкція стадіону „Трудові резерви”, м. Дніпропетровськ. Крита спортивно-демонстраційна споруда для спортивних ігор (у т.ч. ПКД)</t>
  </si>
  <si>
    <t>Реконструкція мереж газопостачання, розташованих на території стадіону „Трудові резерви”, м. Дніпро (винос мереж), (у т.ч. ПКД)</t>
  </si>
  <si>
    <t>Реконструкція дощової та напірно-господарчо-побутової каналізації та насосної станції спортивного комплексу комунального спеціалізованого навчального закладу спортивного профілю „Дніпропетровського вищого училища фізичної культури Дніпропетровської обласної ради” вул. Героїв Сталінграда, 29а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</si>
  <si>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(у т.ч. ПКД)</t>
  </si>
  <si>
    <t>Реконструкція футбольного поля на території спортивного комплексу „Мрія” по
вул. Центральній, 1-Б в смт Магдалинівка Магдалинівського району Дніпропетровської області (у т.ч. ПКД)</t>
  </si>
  <si>
    <t>Будівництво спортивно-оздоровчого комплексу по вулиці Шатровій, м. П’ятихатки. (у т.ч. ПКД)</t>
  </si>
  <si>
    <t>Будівництво житлового будинку в сел. Слобожанське Дніпровського району (у т.ч. ПКД)</t>
  </si>
  <si>
    <t>Реконструкція будівлі КЗ „Дніпропетровська обласна клінічна офтальмологічна лікарня” в комплексі забудови пл. Жовтнева,14, м. Дніпропетровськ  (І черга)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</si>
  <si>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Коригування, в т.ч. ПКД</t>
  </si>
  <si>
    <t>Реконструкція відділення постінтенсивного догляду та виходжування новонароджених КЗ „Дніпропетровський обласний перинатальний центр зі стаціонаром” ДОР по вул. Космічна, 17 в м. Дніпропетровськ (у т.ч. ПКД)</t>
  </si>
  <si>
    <t>Будівництво спортивного плавального басейну на території КПНЗ „Дитяча юнацька спортивна школа № 3” Криворізької міської ради по вул. Зарічній, 3 у м. Кривий Ріг Дніпропетровської області (у т.ч. ПКД)</t>
  </si>
  <si>
    <t>Реконструкція частини будівлі амбулаторії № 1, 3  КЗ „Нікопольський центр первинної медико-санітарної допомоги” під дитяче стаціонарне та консультативно-діагностичне відділення за адресою: м. Нікополь, проспект Трубників, буд. 47 (у т.ч. ПКД)</t>
  </si>
  <si>
    <t>Реконструкція Миколаївської ЗОШ І – ІІІ ступенів під навчально-виховний комплекс „Загальноосвітній навчальний заклад – дошкільний заклад”, розташованого за адресою: вул. Шкільна, 1  с. Миколаївка Новомосковський район Дніпропетровської області (у т.ч. ПКД)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</si>
  <si>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</si>
  <si>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Реконструкція нежитлового приміщення КЗ Дніпровський центр первинної медико-санітарної допомоги № 7 за адресою: вул. Надії Алексєєнко, 30, м. Дніпро, під розміщення амбулаторії загальної практики сімейної медицини</t>
  </si>
  <si>
    <t>Реконструкція нежитлового приміщення КЗ „Дніпровський центр первинної медико-санітарної допомоги № 1” за адресою: м. Дніпро, пр. О. Поля, 59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</si>
  <si>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Новорічна, 77 під розміщення амбулаторії загальної практики сімейної медицини (у т.ч. ПКД)</t>
  </si>
  <si>
    <t>Реконструкція нежитлового приміщення КЗ „Дніпровський центр первинної медико-санітарної допомоги № 4” за адресою: м. Дніпро, вул. Набережна Перемоги, 118 під розміщення амбулаторії загальної практики сімейної медицини №12 (у т.ч. ПКД)</t>
  </si>
  <si>
    <t>Реконструкція нежитлового приміщення КЗ „Дніпровський центр первинної медико-санітарної допомоги № 1” за адресою: м. Дніпро, проспект Богдана Хмельницкого 12-г  під розміщення амбулаторії загальної практики сімейної медицини  (у т.ч. ПКД)</t>
  </si>
  <si>
    <t>Реконструкція нежитлового приміщення КЗ „Дніпровський центр первинної медико-санітарної допомоги № 4” за адресою: просп. Героїв 3, м. Дніпро, під розміщення амбулаторії загальної практики сімейної медицини  (у т.ч. ПКД)</t>
  </si>
  <si>
    <t>Реконструкція нежитлових приміщень КЗ „ДЦПМСД”  № 10   під  амбулаторії  сімейної медицини за адресою: вул. Буковинська, 5 м. Дніпро” (у т.ч. ПКД)</t>
  </si>
  <si>
    <t>Реконструкція нежитлового приміщення КЗ „Дніпровський центр первинної медико-санітарної допомоги № 5” за адресою: м.Дніпро, просп. Свободи, 99 під розміщення амбулаторії загальної практики сімейної медицини (у т.ч. ПКД)</t>
  </si>
  <si>
    <t>Приміщення під амбулаторію „Центру первинної медико-санітарної допомоги № 5” в селищі Ілліча, м. Кривий Ріг – реконструкція (у т.ч. ПКД )</t>
  </si>
  <si>
    <t>Реконструкція приміщень під 3 амбулаторії „Центру первинної медико-санітарної допомоги № 3” по вул. Тухачевського, 33а в м. Кривий Ріг Дніпропетровської області (у т.ч. ПКД)</t>
  </si>
  <si>
    <t>Реконструкція приміщень під амбулаторію „Центру первинної медико-санітарної допомоги № 6” по вул. Переяславській, 18 в м. Кривий Ріг Дніпропетровської області (у т.ч. ПКД)</t>
  </si>
  <si>
    <t>Реконструкція приміщень 1-го поверху КЗ „Криворізька міська клінічна лікарня № 2 Дніпропетровської обласної ради” під відділення  екстреної (невідкладної) медичної допомоги за адресою:  м. Кривий Ріг, майдан 30-річчя Перемоги, 2 (у т.ч. ПКД)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</si>
  <si>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 541 (у т.ч. ПКД)</t>
  </si>
  <si>
    <t>Реконструкція окремо розташованої будівлі комунального закладу „Дошкільний навчальний заклад (ясла-сад) № 23 „Дзвіночок” Кам’янської міської ради дошкільний заклад для дітей від 3 до 6 років. За адресою: вул. Чорновола, 77 (у т.ч. ПКД)</t>
  </si>
  <si>
    <t>Реконструкція малої арени стадіону „Перемога” за адресою: просп. Аношкіна, 109, м. Дніпродзержинськ ( у т.ч. ПКД)</t>
  </si>
  <si>
    <t>Реконструкція будівлі Павлоградського навчально-виховного комплексу „Дошкільний навчальний заклад — загальноосвітній навчальний заклад № 22” по вул. Баумана, 61, м. Павлоград Дніпропетровської області (коригування), у т.ч. ПКД</t>
  </si>
  <si>
    <t>Реконструкція майстерні в житловий корпус № 5 у комунальному закладі „Васильківський психоневрологічний будинок-інтернат” Дніпропетровської обласної ради. Коригування ( у т.ч. ПКД)</t>
  </si>
  <si>
    <t>Школа № 2 смт Межова Дніпропетровської області – реконструкція (у т.ч. ПКД)</t>
  </si>
  <si>
    <t>Реконструкція гуртожитку на 100 місць під спальний корпус комунального закладу „Стародобровільський психо-неврологічний інтернат” Дніпропетровської обласної ради” по вул. Степовій, 2в, с. Стародобровільське Широківського району Дніпропетровської обл. (у т.ч. ПКД)</t>
  </si>
  <si>
    <t>Будівництво амбулаторії на 3-4 лікаря без житла за адресою: Дніпропетровська область,  Верхньодніпровський район, с. Пушкарівка, вул. Ілляшевської, 22в (у т.ч. ПКД)</t>
  </si>
  <si>
    <t>Будівництво амбулаторії на 1-2 лікаря з житлом за адресою: Дніпропетровська область, Криничанський район, с. Адамівка, вул. Нова, 5 (у т.ч. ПКД)</t>
  </si>
  <si>
    <t>Будівництво амбулаторії на 1-2 лікаря з житлом за адресою: Дніпропетровська область, Криничанський район, смт Божедарівка, вул. Медична, 1 (у т.ч. ПКД)</t>
  </si>
  <si>
    <t>Будівництво амбулаторії на 1-2 лікаря з житлом за адресою: Дніпропетровська область, Межівський район , с. Слов’янка, вул. Богуна, 8 (у т.ч. ПКД)</t>
  </si>
  <si>
    <t>Будівництво амбулаторії на 1-2 лікаря з житлом за адресою: Дніпропетровська область, Нікопольський район, с. Придніпровське, вул. Високовольтна, 33б (у т.ч. ПКД)</t>
  </si>
  <si>
    <t>Будівництво амбулаторії на 1-2 лікаря з житлом за адресою: Дніпропетровська область, Нікопольський район, с. Чистопілля,  вул. Шевченка,1 б (у т.ч. ПКД)</t>
  </si>
  <si>
    <t>Будівництво амбулаторії на 1-2 лікаря з житлом за адресою: Дніпропетровська область, Нікопольський район, с. Чкалове, вул. Дружби, 61В (у т.ч. ПКД)</t>
  </si>
  <si>
    <t>Будівництво амбулаторії на 1-2 лікаря з житлом за адресою: Дніпропетровська область, Нікопольський район,  с. Південне, вул. Центральна, 13Б (у т.ч. ПКД)</t>
  </si>
  <si>
    <t>Будівництво амбулаторії на 1-2 лікаря без житла за адресою: Дніпропетровська область, Петриківський район, с. Іванівка, вул. Центральна,75а (у т.ч. ПКД)</t>
  </si>
  <si>
    <t>Будівництво амбулаторії на 1-2 лікаря з житлом за адресою: Дніпропетровська область, Царичанський район, с. Бабайківка, вул. Центральна, 46 (у т.ч. ПКД)</t>
  </si>
  <si>
    <t>Будівництво амбулаторії на 1-2 лікаря без житла за адресою: Дніпропетровська область,  Юр’ївський район, смт Юр’ївка,  вул. Вишнева, 61 (у т.ч. ПКД)</t>
  </si>
  <si>
    <t>Реконструкція частини приміщень будинку культури під дошкільний навчальний заклад в с.Топчине Магдалинівського району Дніпропетровської області (у т.ч. ПКД)</t>
  </si>
  <si>
    <r>
      <t xml:space="preserve">Реконструкція будівлі дитячого садка „Сонечко” по вул. Миру, 32, с. Голубівка Новомосковського району Дніпропетровської області </t>
    </r>
    <r>
      <rPr>
        <sz val="12"/>
        <rFont val="Times New Roman"/>
        <family val="1"/>
      </rPr>
      <t>(у т.ч. ПКД)</t>
    </r>
  </si>
  <si>
    <t xml:space="preserve">Реконструкція технічного приміщення під санвузол для осіб з інвалідністю та інших маломобільних груп населення в будівлі Комунального закладу культури „Дніпровський академічний український музично-драматичний театр
ім. Т.Г. Шевченка” Дніпропетровської обласної ради” за адресою: м. Дніпро, 
вул. Воскресенська, буд. 5 </t>
  </si>
  <si>
    <t>Реконструкція центральної площі смт Червоногригорівка Нікопольського району
(у т.ч. ПКД та експертиза)</t>
  </si>
  <si>
    <r>
      <t xml:space="preserve">Реконструкція системи водопостачання на НФС ІІ підйому
КП </t>
    </r>
    <r>
      <rPr>
        <sz val="11"/>
        <rFont val="Calibri"/>
        <family val="2"/>
      </rPr>
      <t>„</t>
    </r>
    <r>
      <rPr>
        <sz val="11"/>
        <rFont val="Times New Roman"/>
        <family val="1"/>
      </rPr>
      <t>Марганецьке ВУВКГ</t>
    </r>
    <r>
      <rPr>
        <sz val="11"/>
        <rFont val="Calibri"/>
        <family val="2"/>
      </rPr>
      <t>”</t>
    </r>
    <r>
      <rPr>
        <sz val="11"/>
        <rFont val="Times New Roman"/>
        <family val="1"/>
      </rPr>
      <t xml:space="preserve"> ДОР</t>
    </r>
    <r>
      <rPr>
        <sz val="11"/>
        <rFont val="Calibri"/>
        <family val="2"/>
      </rPr>
      <t>”</t>
    </r>
    <r>
      <rPr>
        <sz val="11"/>
        <rFont val="Times New Roman"/>
        <family val="1"/>
      </rPr>
      <t xml:space="preserve"> (у т.ч. ПКД та експертиза)</t>
    </r>
  </si>
  <si>
    <t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шляхопровід на
км 0+000</t>
  </si>
  <si>
    <t xml:space="preserve">Будівництво автомобільної дороги державного значення М-04 Знам’янка – Луганськ – Ізварине (на м. Волгоград через мм. Дніпро, Донецьк) на ділянці обходу м. Дніпра від автомобільної дороги державного значення Н-08 Бориспіль – Дніпро – Запоріжжя (через м. Кременчук) – Маріуполь до межі м. Дніпра, км 4+200 - межа
м. Дніпра </t>
  </si>
  <si>
    <t>Будівництво ділянки дороги другої черги Південного обходу м. Дніпра від межі
м. Дніпра до проїзної частини залізобетонного шляхопроводу через вул. Мільмана</t>
  </si>
  <si>
    <t>Реконструкція частини благоустрою майданчику з улаштуванням об’єкта монументального мистецтва (стели з державною символікою)
на пр. Д. Яворницького м. Дніпро (у т.ч. ПКД)</t>
  </si>
  <si>
    <t>Будівництво ДНЗ на 115 місць на території КЗО СШ № 116 по вул. Передова, 601
м. Дніпро (у т.ч. ПКД)</t>
  </si>
  <si>
    <t>Реконструкція частини благоустрою майданчику з улаштуванням об’єкта монументального мистецтва (стели з державною символікою) на
пр. Д. Яворницького м. Дніпро. Зовнішні електричні мережі  (у т.ч. ПКД)</t>
  </si>
  <si>
    <t>Реконструкція стадіону та елементів благоустрою НВК № 6 „Перспектива” по
вул. Я. Мудрого, 11-а у м. Жовті Води (у т.ч. ПКД)</t>
  </si>
  <si>
    <t>Реконструкція частини будівлі комунального закладу „Навчально-виховний комплекс „Загальноосвітній навчальний заклад І – ІІ ступенів – академічний ліцей
№ 15 м. Дніпродзержинська” Дніпродзержинської міської ради за адресою по
вул. 40 років Перемоги, 10. Коригування (у т.ч. ПКД)</t>
  </si>
  <si>
    <t>Будівництво навчально-виховного комплексу на території КЗ „Середня загальноосвітня школа № 27 „Кам’янської міської ради, розташованої за адресою:
м. Кам’янське, вул. Залізняка, 19, Дніпропетровської області (у т.ч. ПКД)</t>
  </si>
  <si>
    <t>Будівництво КДНЗ (ясел-садка) „Світанок” за адресою: м. Нікополь, перехрестя
вул. Першотравнева та вул. 8 Березня (у т.ч. ПКД)</t>
  </si>
  <si>
    <t>Реконструкція стадіону загальноосвітньої школи І – ІІІ ступенів № 1 по
вул. Б. Хмельницького, 106 в м. Апостолове Дніпропетровської області (у т.ч. ПКД)</t>
  </si>
  <si>
    <t>Реконструкція частини загальноосвітньої школи під дитячий садок на 20 місць в
с. Велика Костромка Апостолівського району Дніпропетровської області. Коригування.</t>
  </si>
  <si>
    <t>Реконструкція комунального закладу Верхівцевський НВК „Середня загальноосвітня школа № 1– дошкільний навчальний заклад” Верхньодніпровської районної ради
(у т.ч. ПКД)</t>
  </si>
  <si>
    <t>Реконструкція будівлі дошкільного закладу „Веснянка” по вул. Центральна, 31д в
с. Миколаївка-1 Дніпропетровського району Дніпропетровської області. Коригування (у т.ч. ПКД)</t>
  </si>
  <si>
    <t>Будівництво навчально-виховного комплексу на території КЗ „Підгородненська загальноосвітня школа № 4 І – ІІІ ступенів” Дніпровської районної ради Дніпропетровської області, розташованої за адресою: м. Підгородне,
вул. Партизанська, 58 (у т.ч. ПКД)</t>
  </si>
  <si>
    <t>Будівництво ДНЗ на 115 місць в смт Червоногригорівка Нікопольського району
(у т.ч. ПКД)</t>
  </si>
  <si>
    <t>Реконструкція існуючої будівлі спортивного комплексу Чаплинської середньої загальноосвітньої школи під навчально-виховний комплекс на 60 місць
по вул. Калініна, 2 в с. Чаплинці Петриківського району. Коригування 
(у т.ч. ПКД)</t>
  </si>
  <si>
    <t>Будівництво ДНЗ по вул. Центральна, 10а, смт Іларіонове Синельниківського р-ну
(у т.ч. ПКД)</t>
  </si>
  <si>
    <t>Реконструкція стадіону та елементів благоустрою Царичанської загальноосвітньої школи І – ІІІ ступенів в смт Царичанка Дніпропетровської області,
вул. Соборна, 40-а (у т.ч. ПКД)</t>
  </si>
  <si>
    <t>Коригування проекту „Реконструкція м’якої покрівлі під шатровий дах з утепленням фасадів головного корпусу КЗ „Дитячий санаторій № 1” ДОР” під „Реконструкція з утепленням фасаду головного корпусу КЗ „Дитячий санаторій № 1” ДОР” по
вул. Тополина, 41, м. Дніпро (у т.ч. ПКД)</t>
  </si>
  <si>
    <t>Реконструкція будівлі гуртожитку під амбулаторію ЗПСМ по вул. Гагаріна, 17 в
с. Червоне Криворізького району Дніпропетровської області (у т.ч. ПКД)</t>
  </si>
  <si>
    <t>Могилівський пансіонат геріатрії. Реконструкція. Посилення фундаментів
с. Могилів – 1 Царичанського району Дніпропетровської області. Коригування.
(у т.ч. ПКД)</t>
  </si>
  <si>
    <t>Реконструкція системи теплопостачання стадіону „Трудові резерви”, м. Дніпро,
(у т.ч. ПКД)</t>
  </si>
  <si>
    <t>Реконструкція стадіону „Металург ім. О.І. Куценка” по вул. Трубників, 48 у
м. Нікополь (у т.ч. ПКД)</t>
  </si>
  <si>
    <t xml:space="preserve">Будівництво спортивно-оздоровчого комплексу на території парку Перемоги в
м. Нікополь по вул. Херсонська , у т.ч.  ПКД  </t>
  </si>
  <si>
    <t>„Спортивно-оздоровчий комплекс в смт. Слобожанське Дніпровського району Дніпропетровської області. Коригування проекту” (нове будівництво). Котельня
(у т.ч. ПКД)</t>
  </si>
  <si>
    <t>Реконструкція глядацьких трибун з улаштуванням навісу стадіону „Діброва” за адресою: Дніпропетровська обл., Царичанський район,
смт. Царичанка,вул. Царичанська, 42-В ( у т.ч. ПКД)</t>
  </si>
  <si>
    <t>Будівництво глядацьких трибун з улаштуванням навісу стадіону в смт. Юр’ївка
(у т.ч. ПКД)</t>
  </si>
  <si>
    <t>Реконструкція нежитлових приміщень КЗ „ДЦПМСД № 9” під амбулаторію сімейної медицини  за адресою: вул. Осіння, 13а  м. Дніпропетровськ. Коригування
(у т.ч. ПКД)</t>
  </si>
  <si>
    <t>Реконструкція філії амбулаторії № 6 за адресою: вул. Орловська, 41
м. Дніпропетровськ, під амбулаторію загальної практики сімейної медицини. Коригування (у т.ч. ПКД)</t>
  </si>
  <si>
    <t>Реконструкція приміщень під амбулаторію „Центру первинної медико-санітарної допомоги № 4” на мкр. Ювілейний, 8а в м. Кривий Ріг Дніпропетровської області
(у т.ч. ПКД)</t>
  </si>
  <si>
    <t>Реконструкція будівлі комунального закладу охорони здоров’я Дніпродзержинської міської ради „Центр первинної медико-санітарної допомоги № 3” за адресою:
вул. Республіканська, 31 під міський центр з профілактики та боротьби зі СНІДом
(у т.ч. ПКД)</t>
  </si>
  <si>
    <t>Реконструкція парку ім. Федора Мершовцева  м. Кривий Ріг (ІІ черга) 
(у т.ч. ПКД та експертиза)</t>
  </si>
  <si>
    <t>Реконструкція площі Героїв у м.Новомосковську (I та II черги будівництва) (у т. ч. ПКД та експертиза)</t>
  </si>
  <si>
    <t>1217463</t>
  </si>
  <si>
    <t>7463</t>
  </si>
  <si>
    <t>в тому числі кредиторська заборгованість</t>
  </si>
  <si>
    <t>1511040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</si>
  <si>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</si>
  <si>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</si>
  <si>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</si>
  <si>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2100</t>
  </si>
  <si>
    <t>0722</t>
  </si>
  <si>
    <t>Стоматологічна допомога населенню</t>
  </si>
  <si>
    <t>1514010</t>
  </si>
  <si>
    <t>4010</t>
  </si>
  <si>
    <t>0821</t>
  </si>
  <si>
    <t>Будівництво магістрального водопроводу від села Нива-Трудова до села Михайлівка (Апостолівського району) (у т.ч. експертиза та коригування ПКД)</t>
  </si>
  <si>
    <t>у тому числі кредиторська заборгованість</t>
  </si>
  <si>
    <t>Нове будівництво підвідного водоводу до с. Велика Костромка Апостолівського району Дніпропетровської області (у т.ч. ПКД та експертиза)</t>
  </si>
  <si>
    <t>Спортивно-оздоровчий комплекс в сел. Ювілейне Дніпропетровського району Дніпропетровської області – будівництво (у т.ч. ПКД)</t>
  </si>
  <si>
    <t>Реконструкція 12-ти квартирного житлового будинку в с. Вербуватівка Юр’ївського району Дніпропетровської області. Коригування (у т.ч. ПКД)</t>
  </si>
  <si>
    <t>Першочергові протиаварійні роботи з реставрації пам’ятки культури, історії та архітектури. Покрівля пам’ятнику містобудування і архітектури Національного значення, охр. № 1074 – будівля КЗ Культури „Дніпровський академічний Український музично-драматичний театр ім. Т.Г. Шевченка” Дніпропетровської обласної ради, за адресою: м. Дніпро, вул. Воскресенська, 5</t>
  </si>
  <si>
    <t>Реконструкція амбулаторії № 2 КЗ „ДЦПМСД № 6” за адресою: вул. Караваєва, 68, м. Дніпро (у т.ч. ПКД)</t>
  </si>
  <si>
    <t>Департамент інформаційної діяльності та комунікацій з громадкістю Дніпропетровської обласної державної адміністрації</t>
  </si>
  <si>
    <t>2300000</t>
  </si>
  <si>
    <t>2310000</t>
  </si>
  <si>
    <t>2311160</t>
  </si>
  <si>
    <t>1216030</t>
  </si>
  <si>
    <t>6030</t>
  </si>
  <si>
    <t>у тому числі:</t>
  </si>
  <si>
    <t>Департамент освіти і науки Дніпропетровської обласної державної адміністрації</t>
  </si>
  <si>
    <t>Внески до статутного капіталу суб’єктів господарювання</t>
  </si>
  <si>
    <t>0617320</t>
  </si>
  <si>
    <t>0110150</t>
  </si>
  <si>
    <t>0150</t>
  </si>
  <si>
    <t>Інші програми, заклади та заходи у сфері освіти</t>
  </si>
  <si>
    <t>0117690</t>
  </si>
  <si>
    <t>7690</t>
  </si>
  <si>
    <t>Інша економічна діяльність</t>
  </si>
  <si>
    <t>0119770</t>
  </si>
  <si>
    <t>9770</t>
  </si>
  <si>
    <t>Інші субвенції з місцевого бюджету</t>
  </si>
  <si>
    <t>0600000</t>
  </si>
  <si>
    <t>0610000</t>
  </si>
  <si>
    <t>0611160</t>
  </si>
  <si>
    <t>0700000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</si>
  <si>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</si>
  <si>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Код ТПКВКМБ</t>
  </si>
  <si>
    <t>Код ФКВКБ</t>
  </si>
  <si>
    <t>грн</t>
  </si>
  <si>
    <t>Управління культури, національностей і релігій Дніпропетровської обласної державної адміністрації</t>
  </si>
  <si>
    <t xml:space="preserve">Загальний обсяг фінансування будівництва </t>
  </si>
  <si>
    <t xml:space="preserve">Разом видатків на поточний рік </t>
  </si>
  <si>
    <t>0490</t>
  </si>
  <si>
    <t>Реконструкція центральної алеї (площі) ж/м Західний в районі вулиці Данила Галицького, 31 (РАГС) Новокадацький район м. Дніпро (у т.ч. ПКД та експертиза)</t>
  </si>
  <si>
    <t>Реконструкція споруд та мереж водопостачання с. Військове Солонянського району Дніпропетровської області (у т.ч. ПКД та експертиза)</t>
  </si>
  <si>
    <t>Первинна медична допомога населенню</t>
  </si>
  <si>
    <t>0726</t>
  </si>
  <si>
    <t>1017321</t>
  </si>
  <si>
    <t>Реконструкція паркової зони по вул. Гагаріна в смт Солоне Дніпропетровської області (у т. ч. ПКД та експертиза)</t>
  </si>
  <si>
    <t>1517368</t>
  </si>
  <si>
    <t>7368</t>
  </si>
  <si>
    <t>Виконання інвестиційних проектів за рахунок субвенцій з інших бюджетів</t>
  </si>
  <si>
    <t>1516017</t>
  </si>
  <si>
    <t>6017</t>
  </si>
  <si>
    <t>0621</t>
  </si>
  <si>
    <t xml:space="preserve">Нікопольський район </t>
  </si>
  <si>
    <t>Широківський район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</si>
  <si>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</si>
  <si>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</si>
  <si>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</si>
  <si>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Криничанський  район</t>
  </si>
  <si>
    <t>Нікопольський  район</t>
  </si>
  <si>
    <t xml:space="preserve">Усього видатків на завершення будівництва об’єктів на майбутні роки </t>
  </si>
  <si>
    <t>Код програмної класифікації видатків та кредитування місцевого бюджету</t>
  </si>
  <si>
    <t>0813101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</si>
  <si>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</si>
  <si>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</si>
  <si>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</si>
  <si>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0941</t>
  </si>
  <si>
    <t>1512010</t>
  </si>
  <si>
    <t>2010</t>
  </si>
  <si>
    <t>0731</t>
  </si>
  <si>
    <t>Багатопрофільна стаціонарна медична допомога населенню</t>
  </si>
  <si>
    <t>1512020</t>
  </si>
  <si>
    <t>2020</t>
  </si>
  <si>
    <t>0732</t>
  </si>
  <si>
    <t xml:space="preserve">Спеціалізована стаціонарна медична допомога населенню </t>
  </si>
  <si>
    <t>1512110</t>
  </si>
  <si>
    <t>2110</t>
  </si>
  <si>
    <t>1512111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</si>
  <si>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</si>
  <si>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</si>
  <si>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1514060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</si>
  <si>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</si>
  <si>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</si>
  <si>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</si>
  <si>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1515030</t>
  </si>
  <si>
    <t>1515031</t>
  </si>
  <si>
    <t>5031</t>
  </si>
  <si>
    <t>Утримання та навчально-тренувальна робота комунальних дитячо-юнацьких спортивних шкіл</t>
  </si>
  <si>
    <t>1515040</t>
  </si>
  <si>
    <t>5040</t>
  </si>
  <si>
    <t>Підтримка і розвиток спортивної інфраструктури</t>
  </si>
  <si>
    <t>1515041</t>
  </si>
  <si>
    <t>5041</t>
  </si>
  <si>
    <t>Утримання та фінансова підтримка спортивних споруд</t>
  </si>
  <si>
    <t>1516010</t>
  </si>
  <si>
    <t>6010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</si>
  <si>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</si>
  <si>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</si>
  <si>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</si>
  <si>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1516030</t>
  </si>
  <si>
    <t>1517321</t>
  </si>
  <si>
    <t>7321</t>
  </si>
  <si>
    <t xml:space="preserve">Завершення будівництва багатоквартирного житлового будинку по
вул. Леніна, 143А, смт Покровське Покровського району Дніпропетровської області. Коригування 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</si>
  <si>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</si>
  <si>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Реконструкція підвідного водопроводу до с. Новолатівка та с. Інгулець Широківського району Дніпропетровської області (у т.ч. ПКД та експертиза)</t>
  </si>
  <si>
    <t>Будівництво освітніх установ та закладів</t>
  </si>
  <si>
    <t>м. Жовті Води</t>
  </si>
  <si>
    <t>м. Кам’янське</t>
  </si>
  <si>
    <t>0111210</t>
  </si>
  <si>
    <t>1210</t>
  </si>
  <si>
    <t>Утримання інших закладів освіти</t>
  </si>
  <si>
    <t>м. Нікополь</t>
  </si>
  <si>
    <t>м. Новомосковськ</t>
  </si>
  <si>
    <t>до рішення обласної ради</t>
  </si>
  <si>
    <t>Будівництво відкритих спортивних споруд на території комунального закладу „Загальноосвітній ліцей м. Покров Дніпропетровської області” за адресою: Дніпропетровська область, м. Покров, вул. Центральна, 31 (у т.ч. ПКД)</t>
  </si>
  <si>
    <t>Реконструкція стадіону РКЗО „Межівська СЗШ  № 1” (дві філії) вул. Учительська, 7, смт Межова Межівського району Дніпропетровської області ( у т.ч. ПКД)</t>
  </si>
  <si>
    <t>Реконструкція будівлі ДНЗ ясла-садок „Малятко” в смт Новопокровка Солонянського району (у т.ч. ПКД)</t>
  </si>
  <si>
    <t>Реконструкція головного корпусу КЗ „Дніпропетровська міська лікарня № 15” ДОР” під КЗ „Обласний центр поліативної та хоспісної допомоги” по вул. Перемоги, 113  м. Дніпро (у т.ч. ПКД)</t>
  </si>
  <si>
    <t>С. ОЛІЙНИК</t>
  </si>
  <si>
    <t>Реконструкція Томаківського НВК „ЗОШ І – ІІІ ступенів – ДНЗ” № 1 Томаківського району Дніпропетровської області по вул. Ватутіна, 7 (у т.ч. ПКД)</t>
  </si>
  <si>
    <t>Реконструкція стадіону Томаківської  ЗОШ I – III ступенів № 1 по вул. Ватутіна, 7 в смт Томаківка ( у т.ч. ПКД)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</si>
  <si>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 (коригування), у т.ч.ПКД</t>
  </si>
  <si>
    <t>Реконструкція будівлі дитячого садка в с. Чкалове Нікопольського району Дніпропетровської області (коригування) ( у т.ч. ПКД)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</si>
  <si>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області. (у т.ч. ПКД)</t>
  </si>
  <si>
    <t>Петропавлівський  район</t>
  </si>
  <si>
    <t>Петриківський  район</t>
  </si>
  <si>
    <t>Покровський  район</t>
  </si>
  <si>
    <t xml:space="preserve"> П’ятихатський район</t>
  </si>
  <si>
    <t>Будівництво ДНЗ на 115 місць по вул. Привокзальна, 344, м. П’ятихатки (у т.ч. ПКД)</t>
  </si>
  <si>
    <t>Синельниківський  район</t>
  </si>
  <si>
    <t>Реконструкція стадіону Святовасилівської СШ Солонянського району Дніпропетровської області (у т.ч. ПКД)</t>
  </si>
  <si>
    <t>0117693</t>
  </si>
  <si>
    <t>7693</t>
  </si>
  <si>
    <t>Царичанський район</t>
  </si>
  <si>
    <t xml:space="preserve"> Широківський район</t>
  </si>
  <si>
    <t>1517322</t>
  </si>
  <si>
    <t>7322</t>
  </si>
  <si>
    <t>Будівництво медичних установ та закладів</t>
  </si>
  <si>
    <t>1517323</t>
  </si>
  <si>
    <t>7323</t>
  </si>
  <si>
    <t>Будівництво установ та закладів соціальної сфери</t>
  </si>
  <si>
    <t>1517324</t>
  </si>
  <si>
    <t>7324</t>
  </si>
  <si>
    <t>Будівництво установ та закладів культури</t>
  </si>
  <si>
    <t>Будівництво будинку культури в с. Новоолександрівка по вул. Парковій, 1-К  Дніпровського району Дніпропетровської області (у т.ч. ПКД)</t>
  </si>
  <si>
    <t>Реконструкція Будинку культури в м. Перещепине  Дніпропетровської області. Коригування (у т.ч. ПКД)</t>
  </si>
  <si>
    <t>1517325</t>
  </si>
  <si>
    <t>0611162</t>
  </si>
  <si>
    <t>1162</t>
  </si>
  <si>
    <t>Інші програми та заходи у сфері освіти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</si>
  <si>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</si>
  <si>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</si>
  <si>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</si>
  <si>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0611080</t>
  </si>
  <si>
    <t>0712020</t>
  </si>
  <si>
    <t>Спеціалізована стаціонарна медична допомога населенню</t>
  </si>
  <si>
    <t>0712040</t>
  </si>
  <si>
    <t>2040</t>
  </si>
  <si>
    <t>0734</t>
  </si>
  <si>
    <t>Санаторно-курортна допомога населенню</t>
  </si>
  <si>
    <t>1011120</t>
  </si>
  <si>
    <t>Підготовка кадрів вищими навчальними закладами І-ІІ рівнів акредитації (коледжами, технікумами, училищами)</t>
  </si>
  <si>
    <t>1011130</t>
  </si>
  <si>
    <t>1130</t>
  </si>
  <si>
    <t>0942</t>
  </si>
  <si>
    <t>Петриківський район</t>
  </si>
  <si>
    <t>Додаток 6</t>
  </si>
  <si>
    <t>Нове будівництво житлового будинку на основі незавершеного будівництвом гуртожитку за адресою: вул. Туполєва, м. Кривий Ріг, Дніпропетровська обл., 50000</t>
  </si>
  <si>
    <t>Будівництво амбулаторії на 1-2 лікаря без житла за адресою: Дніпропетровська область, Петриківський район  с. Лобойківка, вул. Пати, 7 (у т.ч. ПКД)</t>
  </si>
  <si>
    <t xml:space="preserve">Інша діяльність, пов’язана з експлуатацією об’єктів житлово-комунального господарства </t>
  </si>
  <si>
    <t>субвенція з обласного бюджету до місцевих бюджетів на співфінансування органів місцевого самоврядування області 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– Швейцарсько-Український проект „Підтримка децентралізації в Україні” DESPRO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</si>
  <si>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</si>
  <si>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Реконструкція стадіону  КЗО ССЗШ № 126 з поглибленим вивченням французької мови, м. Дніпро ( у т.ч. ПКД)</t>
  </si>
  <si>
    <t>Реконструкція стадіону ЗОШ № 7, м. Марганець, вул. Долгова, 1 (у т.ч. ПКД)</t>
  </si>
  <si>
    <t>Реконструкція стадіону ЗОШ № 9, м. Марганець, кв. Ювілейний, 16 (у т.ч. ПКД)</t>
  </si>
  <si>
    <t>Будівництво Дніпропетровського обласного реабілітаційного центру в с. Сурсько-Литовське Дніпропетровського району Дніпропетровської області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</si>
  <si>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(у т.ч. ПКД)</t>
  </si>
  <si>
    <t xml:space="preserve">Підготовка кадрів вищими навчальними закладами І – ІІ рівнів акредитації (коледжами, технікумами, училищами) </t>
  </si>
  <si>
    <t>Інші заходи, пов’язані з економічною діяльністю</t>
  </si>
  <si>
    <t>Будівництво об’єктів соціально-культурного призначення</t>
  </si>
  <si>
    <t>Реконструкція стадіону Лихівської середньої загальноосвітньої школи смт Лихівка П’ятихатського району Дніпропетровської області (у т.ч. ПКД)</t>
  </si>
  <si>
    <t>Будівництво стадіону в с. Хутірське по вул. Лук’яненко Хутірської сільської ради Петриківського району Дніпропетровської області (у т.ч. ПКД)</t>
  </si>
  <si>
    <t>Юр’ївський район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</si>
  <si>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</si>
  <si>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</si>
  <si>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0712152</t>
  </si>
  <si>
    <t>2152</t>
  </si>
  <si>
    <t>Інші програми та заходи у сфері охорони здоров’я,</t>
  </si>
  <si>
    <t>Інші заходи в галузі охорони здоров’я,</t>
  </si>
  <si>
    <t>Будівництво об'єктів житлово-комунального господарства</t>
  </si>
  <si>
    <t xml:space="preserve">Виконнаня інвестиційних проектів </t>
  </si>
  <si>
    <t>Реконструкція дошкільного навчального закладу „Чебурашка„ з улаштуванням автономної котельні по вул. Велика Ковалівка, 14 в м. Новомосковську (коригування) (у тому числі ПКД)</t>
  </si>
  <si>
    <t>Верхньодніпровський район</t>
  </si>
  <si>
    <t>Реконструкція будівель під центр соціальної реабілітації дітей-інвалідів по
вул. Вільна, 2а, м. Кривий Ріг ( у т.ч. ПКД)</t>
  </si>
  <si>
    <t>Реконструкція будівлі „Палац тенісу” КЗ „Спортивний комбінат „Прометей” КМР у м. Кам’янське (у т.ч. ПКД)</t>
  </si>
  <si>
    <t>Реконструкція стадіону НВК № 1 ім. Коцюбинського смт Васильківка Васильківського району Дніпропетровської області (у т.ч. ПКД)</t>
  </si>
  <si>
    <t>Будівництво ДНЗ на 80 місць за адресою: вул. Шкільна, 2,  с. Старі Кодаки Дніпровського району Дніпропетровської області (у т.ч. ПКД)</t>
  </si>
  <si>
    <t>Реконструкція опорної школи смт Магдалинівка, вул. Центральна, 12 Магдалинівський район Дніпропетровської області  (у т.ч. ПКД)</t>
  </si>
  <si>
    <t>Реконструкція стадіону опорної школи смт Магдалинівка, вул. Центральна, 12 Магдалинівський район Дніпропетровської області  (у т.ч. ПКД)</t>
  </si>
  <si>
    <t>Реконструкція ДНЗ на 115 місць по вул. Центральна, 1Г в с. Райполе Межівського району (у т.ч. ПКД)</t>
  </si>
  <si>
    <t>0611070</t>
  </si>
  <si>
    <t>1070</t>
  </si>
  <si>
    <t>0611090</t>
  </si>
  <si>
    <t>Надання позашкільної освіти позашкільними закладами освіти, заходи із позашкільної роботи з дітьми</t>
  </si>
  <si>
    <t>0611120</t>
  </si>
  <si>
    <t>0611140</t>
  </si>
  <si>
    <t>1140</t>
  </si>
  <si>
    <t>0950</t>
  </si>
  <si>
    <t>Підвищення кваліфікації, перепідготовка кадрів закладами післядипломної освіти</t>
  </si>
  <si>
    <t>0617321</t>
  </si>
  <si>
    <t>Будівництво спортивної зали з плавальним басейном та облаштуванням теплого переходу в КЗ „НСЗШ № 21” за адресою м. Нікополь, вул. Гагаріна, 161 (у т.ч.ПКД)</t>
  </si>
  <si>
    <t>104020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</si>
  <si>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</si>
  <si>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</si>
  <si>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0822</t>
  </si>
  <si>
    <t>Томаківський район</t>
  </si>
  <si>
    <t>м. Павлоград</t>
  </si>
  <si>
    <t>Дніпровський район</t>
  </si>
  <si>
    <t>Криворiзький район</t>
  </si>
  <si>
    <t>Новомосковський район</t>
  </si>
  <si>
    <t>Солонянський район</t>
  </si>
  <si>
    <t>Софіївський район</t>
  </si>
  <si>
    <t xml:space="preserve">Синельниківський район </t>
  </si>
  <si>
    <t>1217640</t>
  </si>
  <si>
    <t>7640</t>
  </si>
  <si>
    <t>0470</t>
  </si>
  <si>
    <t>Заходи з енергозбереження</t>
  </si>
  <si>
    <t>1511010</t>
  </si>
  <si>
    <t>1010</t>
  </si>
  <si>
    <t>0910</t>
  </si>
  <si>
    <t>Надання дошкільної освіти</t>
  </si>
  <si>
    <t>1511020</t>
  </si>
  <si>
    <t>1020</t>
  </si>
  <si>
    <t>0921</t>
  </si>
  <si>
    <t>1511080</t>
  </si>
  <si>
    <t>1080</t>
  </si>
  <si>
    <t>0922</t>
  </si>
  <si>
    <t>Нове будівництво водогону питної води населених пунктів Божедарівської селищної ради, Криничанського району, Дніпропетровської області (у. т.ч. ПКД та експертиза)</t>
  </si>
  <si>
    <t>Межiвський район</t>
  </si>
  <si>
    <t>у т.ч. списано згідно рішення господарського суду</t>
  </si>
  <si>
    <t>Нове будівництво водогону від ІІ підйому до с. Вищетарасівка Томаківського району  (у т.ч. експертиза та ПКД)</t>
  </si>
  <si>
    <t>1217368</t>
  </si>
  <si>
    <t>Реконструкція стадіону КЗ освіти  „НВК „ЗОШ І – ІІІ ступенів № 1 – Покровський ліцей”, смт Покровське, Покровського району Дніпропетровської області (у т.ч. ПКД)</t>
  </si>
  <si>
    <t>Перелік об’єктів, видатки на які у 2018  році будуть проводитися за рахунок коштів бюджету розвитку</t>
  </si>
  <si>
    <t>за рахунок субвенції з державного бюджету</t>
  </si>
  <si>
    <t>Управління молоді і спорту Дніпропетровської обласної державної адміністрації</t>
  </si>
  <si>
    <t>0111</t>
  </si>
  <si>
    <t>1000000</t>
  </si>
  <si>
    <t>1010000</t>
  </si>
  <si>
    <t xml:space="preserve">Відсоток завершеності будівництва об’єктів на майбутні роки 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</si>
  <si>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</si>
  <si>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м.Кривий Ріг</t>
  </si>
  <si>
    <t>Будівництво житлового будинку для дітей-сиріт м. Кривий Ріг (у т.ч. ПКД)</t>
  </si>
  <si>
    <t>Будівництво житлового будинку для дітей-сиріт с. Богданівка, вул. Шевченко, 30а, Павлоградський район (у т.ч. ПКД)</t>
  </si>
  <si>
    <t>Будівництво житлового будинку для дітей-сиріт с. Лобойківка, Петриківського району (у т.ч. ПКД)</t>
  </si>
  <si>
    <t>Будівництво житлового будинку для дітей-сиріт с. Раївка, вул. Таланова, 14а, Синельниківський район (у т.ч. ПКД)</t>
  </si>
  <si>
    <t>Будівництво житлового будинку для дітей-сиріт смт Солоне Солонянського району (у т.ч. ПКД)</t>
  </si>
  <si>
    <t>Будівництво стадіону на території НВК в с. Ганнівка Верхньодніпровського району Дніпропетровської області (у т.ч. ПКД)</t>
  </si>
  <si>
    <t>Реконструкція стадіону Сурсько-Литовської середньої школи Дніпровського району Дніпропетровської області (у т.ч. ПКД)</t>
  </si>
  <si>
    <t>Будівництво ДНЗ на 115 місць за адресою: вул. Центральна, с. Балівка Дніпровського району ( у т.ч. ПКД)</t>
  </si>
  <si>
    <t>Реконструкція колишньої Маївської початкової школи під комунальний дошкільний навчальний заклад по вул. Київській 61 в с. Маївка Дніпровського району Дніпропетровської області (у тому числі ПКД)</t>
  </si>
  <si>
    <t>Будівництво ДНЗ на 115 місць на території Миколаївської СШ № 2 Новотаромської сільської ради Дніпровського району (у т.ч. ПКД)</t>
  </si>
  <si>
    <t>Криворізький район</t>
  </si>
  <si>
    <t>2311162</t>
  </si>
  <si>
    <t>0719770</t>
  </si>
  <si>
    <t>м. Покров</t>
  </si>
  <si>
    <t>м. Синельникове</t>
  </si>
  <si>
    <t>субвенція з обласного бюджету до місцевих бюджетів на капітальні видатки  та облаштування об'єктів соціально- культурної сфери</t>
  </si>
  <si>
    <t>Будівництво комплексу (спортивна зала, актова зала та їдальня) комунального опорного загальноосвітнього навчального закладу „Іларіонівська середня загальноосвітня школа I – III ступенів Синельниківської районної ради Дніпропетровської області” по вул. Європейська, 3, смт Іларіонове (у т.ч. ПКД)</t>
  </si>
  <si>
    <t>Реконструкція нежитлових приміщень КЗ „ДЦПМСД № 9” під амбулаторію № 12 за адресою: пров. Фестивальний, 14, м. Дніпро (у т.ч. ПКД)</t>
  </si>
  <si>
    <t>Реконструкція нежитлових приміщень КЗ „ДЦПМСД № 10” під амбулаторію сімейної медицини №8 за адресою: вул. Електрична, 15, м. Дніпро(у т.ч. ПКД)</t>
  </si>
  <si>
    <t>Реконструкція нежитлового приміщення КЗ „Дніпровський центр первинної медико-санітарної допомоги № 10” за адресою: вул. Чаплинська, 96, м. Дніпро, під розміщення амбулаторії загальної практики сімейної медицини (у т.ч. ПКД)</t>
  </si>
  <si>
    <t>Реконструкція корпусу платної поліклініки КЗ „Дніпропетровська обласна клінічна лікарня  ім. І.І. Мечникова” під центр діагностики та реабілітації постраждалих в зоні АТО ( у т.ч. ПКД)</t>
  </si>
  <si>
    <t>0620</t>
  </si>
  <si>
    <t>Організація благоустрою населених пунктів</t>
  </si>
  <si>
    <t>м. Вільногірськ</t>
  </si>
  <si>
    <t>м. Дніпро</t>
  </si>
  <si>
    <t>м. Кривий Ріг</t>
  </si>
  <si>
    <t>м.Марганець</t>
  </si>
  <si>
    <t xml:space="preserve">м. Новомосковськ </t>
  </si>
  <si>
    <t xml:space="preserve"> м. Покров</t>
  </si>
  <si>
    <t>Реконструкція Дендропарку по вул. Центральна в м. Покров Дніпропетровської області. (у т.ч. ПКД та експертиза)</t>
  </si>
  <si>
    <t>Нікопольський район</t>
  </si>
  <si>
    <t>Забезпечення діяльності водопровідно-каналізаційного господарства</t>
  </si>
  <si>
    <t>Департамент екології та природних ресурсів Дніпропетровської обласної державної 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</si>
  <si>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</si>
  <si>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>1517361</t>
  </si>
  <si>
    <t>Реконструкція стадіону та елементів благоустрою загальноосвітньої школи № 7 за адресою: вул. Воїнів Афганців, 5, м. Синельникове Дніпропетровська область (у т.ч. ПКД)</t>
  </si>
  <si>
    <t>Апостолівський район</t>
  </si>
  <si>
    <t>0611040</t>
  </si>
  <si>
    <t>1014010</t>
  </si>
  <si>
    <t>1014080</t>
  </si>
  <si>
    <t>1014081</t>
  </si>
  <si>
    <t>4081</t>
  </si>
  <si>
    <t>Забезпечення діяльності інших закладів в галузі культури та мистецтва</t>
  </si>
  <si>
    <t>Будівництво амбулаторії на 1-2 лікаря з житлом за адресою: Дніпропетровська область, Царичанський район, с. Прядівка, вул. Центральна, 41 б (у т.ч. ПКД)</t>
  </si>
  <si>
    <t>нет формули</t>
  </si>
  <si>
    <t>Синельниківський район</t>
  </si>
  <si>
    <t>Реконструкція Будинку культури по вул. Центральна, 21 в смт. Роздори Синельниківського району Дніпропетровської обл. (у т.ч. ПКД)</t>
  </si>
  <si>
    <t>Будівництво стадіону КЗ „Дитячо-юнацька футбольна школа „Надія” Кам’янської міської ради (у т.ч. ПКД)</t>
  </si>
  <si>
    <t>Реконструкція Бородаївського КДНЗ „Вишенька” за адресою: 
вул. Шкільна, 12, с. Бородаївка Верхньодніпровського району Дніпропетровської області (у т.ч. ПКД)</t>
  </si>
  <si>
    <t>Управління взаємодії з правоохоронними органами та оборонної роботи Дніпропетровської обласної державної адміністрації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</si>
  <si>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</si>
  <si>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2200000</t>
  </si>
  <si>
    <t>2210000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</si>
  <si>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</si>
  <si>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</si>
  <si>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0611110</t>
  </si>
  <si>
    <t>1110</t>
  </si>
  <si>
    <t>0930</t>
  </si>
  <si>
    <t>Підготовка кадрів професійно-технічними закладами та іншими закладами освіти,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</si>
  <si>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</si>
  <si>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</si>
  <si>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</si>
  <si>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</si>
  <si>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Департамент фінансів Дніпропетровської обласної державної адміністрації</t>
  </si>
  <si>
    <t>3200000</t>
  </si>
  <si>
    <t>3210000</t>
  </si>
  <si>
    <t>3214080</t>
  </si>
  <si>
    <t>3214082</t>
  </si>
  <si>
    <t>4082</t>
  </si>
  <si>
    <t>Інші заходи в галузі культури і мистецтва</t>
  </si>
  <si>
    <t>Апарат обласної державної адміністрації</t>
  </si>
  <si>
    <t>0200000</t>
  </si>
  <si>
    <t>0210000</t>
  </si>
  <si>
    <t>0213240</t>
  </si>
  <si>
    <t>0213241</t>
  </si>
  <si>
    <t>2219800</t>
  </si>
  <si>
    <t>3700000</t>
  </si>
  <si>
    <t>3710000</t>
  </si>
  <si>
    <t>3719800</t>
  </si>
  <si>
    <t>Реконструкція з енергозбереженням та альтернативним опаленням СЗОШ
№ 2, по вул. Соборна, буд. 4, смт Широке, Широківського району Дніпропетровської області (у т.ч. ПКД)</t>
  </si>
  <si>
    <t>Межівський  район</t>
  </si>
  <si>
    <t>Павлоградський район</t>
  </si>
  <si>
    <t>1519770</t>
  </si>
  <si>
    <t xml:space="preserve"> Інші субвенції з місцевого бюджету  </t>
  </si>
  <si>
    <t>0714030</t>
  </si>
  <si>
    <t>1216010</t>
  </si>
  <si>
    <t>1216011</t>
  </si>
  <si>
    <t>1216013</t>
  </si>
  <si>
    <t>6013</t>
  </si>
  <si>
    <t>Будівництво будинку культури в с. Новоолександрівка по вул. Парковій,   1-К  Дніпровського району Дніпропетровської області (у т.ч. ПКД)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</si>
  <si>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</si>
  <si>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аптеки під багатоквартирний житловий будинок по
вул. 14 Гвардійської дивізії, 12  в смт Царичанка Дніпропетровської області (у т.ч. ПКД)</t>
  </si>
  <si>
    <t>Департамент капітального будівництва Дніпропетровської обласної державної адміністрації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</si>
  <si>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</si>
  <si>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 xml:space="preserve">Надання реабілітаційних послуг особам з інвалідністю та дітям з інвалідністю </t>
  </si>
  <si>
    <t>0813100</t>
  </si>
  <si>
    <t>0813102</t>
  </si>
  <si>
    <t>0813105</t>
  </si>
  <si>
    <t>3101</t>
  </si>
  <si>
    <t>3102</t>
  </si>
  <si>
    <t>3105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</si>
  <si>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</si>
  <si>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</si>
  <si>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</si>
  <si>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3240</t>
  </si>
  <si>
    <t>3241</t>
  </si>
  <si>
    <t>Забезпечення діяльності інших закладів у сфері соціального захисту і соціального забезпечення</t>
  </si>
  <si>
    <t>0817320</t>
  </si>
  <si>
    <t>Будівництво об'єктів соціально-культурного призначення</t>
  </si>
  <si>
    <t>0817323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</si>
  <si>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</si>
  <si>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</si>
  <si>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0443</t>
  </si>
  <si>
    <t>5033</t>
  </si>
  <si>
    <t>Розвиток дитячо-юнацького та резервного спорту</t>
  </si>
  <si>
    <t>1160</t>
  </si>
  <si>
    <t>Департамент соціального захисту населення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</si>
  <si>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</si>
  <si>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Перший заступник голови обласної ради</t>
  </si>
  <si>
    <t>0117670</t>
  </si>
  <si>
    <t>7670</t>
  </si>
  <si>
    <t>1200000</t>
  </si>
  <si>
    <t>1210000</t>
  </si>
  <si>
    <t>1600000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</si>
  <si>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</si>
  <si>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</si>
  <si>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</si>
  <si>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</si>
  <si>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2017520</t>
  </si>
  <si>
    <t>7520</t>
  </si>
  <si>
    <t>Реалізація Національної програми інформатизації</t>
  </si>
  <si>
    <t>8110</t>
  </si>
  <si>
    <t>1500000</t>
  </si>
  <si>
    <t>1510000</t>
  </si>
  <si>
    <t>2000000</t>
  </si>
  <si>
    <t>2010000</t>
  </si>
  <si>
    <t>1090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</si>
  <si>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</si>
  <si>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5030</t>
  </si>
  <si>
    <t>7310</t>
  </si>
  <si>
    <t>1217310</t>
  </si>
  <si>
    <t>7360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</si>
  <si>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</si>
  <si>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</si>
  <si>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</si>
  <si>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</si>
  <si>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</si>
  <si>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</si>
  <si>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7320</t>
  </si>
  <si>
    <t>1517320</t>
  </si>
  <si>
    <t>1517360</t>
  </si>
  <si>
    <t>7365</t>
  </si>
  <si>
    <t>1517365</t>
  </si>
  <si>
    <t>Управління цивільного захисту Дніпропетровської обласної державної адміністрації</t>
  </si>
  <si>
    <t>2900000</t>
  </si>
  <si>
    <t>2910000</t>
  </si>
  <si>
    <t>2918110</t>
  </si>
  <si>
    <t>Реконструкція НВК № 1 по вул. Центральній, 35, м. Покров (у т.ч. ПКД)</t>
  </si>
  <si>
    <t>Реконструкція стадіону НВК № 1 по вул. Центральній, 35, м. Покров (у т.ч. ПКД)</t>
  </si>
  <si>
    <t>Будівництво ДНЗ на 115 місць,  вул. І. Малки, м. Покров (у т.ч. ПКД)</t>
  </si>
  <si>
    <t>Васильківський  район</t>
  </si>
  <si>
    <t>Реконструкція стадіону Чаплинської опорної школи Васильківського району Дніпропетровської області (у т.ч. ПКД)</t>
  </si>
  <si>
    <t>Фінансова підтримка театрів</t>
  </si>
  <si>
    <t>1514040</t>
  </si>
  <si>
    <t xml:space="preserve">Реконструкція майстерень СЗШ № 37 під приміщення дошкільного відділення за  адресою: вул. Щербицького, 34/22 в м. Дніпродзержинськ. Коригування </t>
  </si>
  <si>
    <t>Реконструкція нежитлових приміщень КЗ „ДЦПМСД № 1” під амбулаторію № 6 за адресою: вул. М. Руденка, 112, м. Дніпро (у т.ч. ПКД)</t>
  </si>
  <si>
    <t>Реконструкція амбулаторії № 10 КЗ „ДЦПМСД № 4” за адресою: вул. Козакова, 1-А, м. Дніпро (у т.ч. ПКД)</t>
  </si>
  <si>
    <t>Реконструкція амбулаторії № 9 КЗ „ДЦПМСД № 7” за адресою: вул. Новошкільна, 92, м. Дніпро (у т.ч. ПКД)</t>
  </si>
  <si>
    <t>Реставрація вхідної групи (аварійно-відновлювальні роботи частини фасаду будівлі Художнього музею за адресою: вул. Шевченка, 21 у м. Дніпро)</t>
  </si>
  <si>
    <t>Будівництво системи водопостачання сіл Парне, Катражка та селища Вишневецьке Синельниківського району Дніпропетровської області  (у т.ч. ПКД та експертиза)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</si>
  <si>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</si>
  <si>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Будівництво стадіону по вул. Центральній, 2-с в с. Волоське Дніпровського району Дніпропетровської області (у т.ч. ПКД)</t>
  </si>
  <si>
    <t>Будівництво міського парку по вул Центральна  м. Вільногірськ Дніпропетровської області (у т.ч. ПКД та експертиза)</t>
  </si>
  <si>
    <t>Реконструкція будівлі КЗ „Покровська дитячо-юнацька спортивна школа” Покровської районної ради Дніпропетровської області (I черга), у т.ч. ПКД</t>
  </si>
  <si>
    <t>м. Першотравенськ</t>
  </si>
  <si>
    <t>1217360</t>
  </si>
  <si>
    <t xml:space="preserve">Виконання інвестиційних проектів 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</si>
  <si>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</si>
  <si>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</si>
  <si>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</si>
  <si>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1217363</t>
  </si>
  <si>
    <t>7363</t>
  </si>
  <si>
    <t>Виконання  інвестиційних проектів в рамках здійснення заходів щодо соціально-економічного розвитку окремих територій</t>
  </si>
  <si>
    <t>у т.ч. залишки субвенції з державного бюджету</t>
  </si>
  <si>
    <t>у т.ч.  кредиторська заборгованість</t>
  </si>
  <si>
    <t>у т.ч. залишки субвенції</t>
  </si>
  <si>
    <t>1517363</t>
  </si>
  <si>
    <t xml:space="preserve">у т.ч. залишки субвенції </t>
  </si>
  <si>
    <t>у т.ч. кредиторська заборгованість</t>
  </si>
  <si>
    <t>2800000</t>
  </si>
  <si>
    <t>2810000</t>
  </si>
  <si>
    <t>2819800</t>
  </si>
  <si>
    <t>9800</t>
  </si>
  <si>
    <t>0619770</t>
  </si>
  <si>
    <t>субвенція з обласного бюджету до місцевих бюджетів на впровадження новітніх технологій</t>
  </si>
  <si>
    <t>2919770</t>
  </si>
  <si>
    <t>субвенція з обласного бюджету бюджетам об'єнаних територіальних громад на створення центрів безпеки</t>
  </si>
  <si>
    <t>2919800</t>
  </si>
  <si>
    <t>Утримання та розвиток автомобільних доріг та дорожньої інфраструктури за рахунок трансфертів з інших місцевих бюджетів</t>
  </si>
  <si>
    <t>Реконструкція стадіону опорної КЗ „Карпівська середня загальноосвітня
школа І – ІІІ ступенів” по вул. Молодіжна, 52 в с. Карпівка Широківського району  Дніпропетровської області (у т.ч. ПКД)</t>
  </si>
  <si>
    <t>Криничанський район</t>
  </si>
  <si>
    <t>Магдалинівський район</t>
  </si>
  <si>
    <t>Межівський район</t>
  </si>
  <si>
    <t>Реконструкція дитячого садка на 90 місць за адресою: вул. Гагаріна, 3, с. Іванівка, Межівського району (у т.ч. ПКД)</t>
  </si>
  <si>
    <t>Реконструкція стадіону „Трудові резерви”, м. Дніпропетровськ. Благоустрій території ( у т.ч. ПКД)</t>
  </si>
  <si>
    <t>1014040</t>
  </si>
  <si>
    <t>4040</t>
  </si>
  <si>
    <t>0824</t>
  </si>
  <si>
    <t>Забезпечення діяльності музеїв i виставок</t>
  </si>
  <si>
    <t>Реконструкція системи теплопостачання стадіону „Трудові резерви”, м. Дніпро. Збільшення потужності. (у т.ч. ПКД)</t>
  </si>
  <si>
    <t>0717320</t>
  </si>
  <si>
    <t>0717322</t>
  </si>
  <si>
    <t xml:space="preserve">Будівництво медичних установ та закладів </t>
  </si>
  <si>
    <t>Реконструкція паркової зони в смт Томаківка Томаківського району Дніпропетровської області ( у т. числі ПКД та експертиза)</t>
  </si>
  <si>
    <t>1216040</t>
  </si>
  <si>
    <t>6040</t>
  </si>
  <si>
    <t>Заходи, пов’язані з поліпшенням питної води</t>
  </si>
  <si>
    <t>капітальні видатки</t>
  </si>
  <si>
    <t>0712010</t>
  </si>
  <si>
    <t>Реконструкція каналізаційних мереж с. Кривбас Гейківської сільської ради Криворізького району  (у т.ч. експертиза та виготовлення ПКД)</t>
  </si>
  <si>
    <t>1517366</t>
  </si>
  <si>
    <t>7366</t>
  </si>
  <si>
    <t>Реалізація проектів в рамках Надзвичайної кредитної програми для відновлення України</t>
  </si>
  <si>
    <t>у т.ч. за рахунок субвенції з державного бюджету</t>
  </si>
  <si>
    <t>Заходи із запобігання та ліквідації надзвичайних ситуацій та наслідків стихійного лиха</t>
  </si>
  <si>
    <t>Департамент охорони здоров’я Дніпропетровської обласної державної адміністрації</t>
  </si>
  <si>
    <t>0456</t>
  </si>
  <si>
    <t>0460</t>
  </si>
  <si>
    <t>Реконструкція  топочної будинку культури для теплопостачання дитячого садку і сільської ради с. Чкалове Нікопольського району Дніпропетровської області, (у т.ч. ПКД)</t>
  </si>
  <si>
    <t>Реконструкція площі Гірницької Слави м. Марганець (у т. ч. ПКД та експертиза)</t>
  </si>
  <si>
    <t>Васильківський район</t>
  </si>
  <si>
    <t>Реконструкція стадіону „Діброва” в смт Царичанка Царичанського району, в т.ч. ПКД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</si>
  <si>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</si>
  <si>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1217364</t>
  </si>
  <si>
    <t>7364</t>
  </si>
  <si>
    <t>1014030</t>
  </si>
  <si>
    <t>4030</t>
  </si>
  <si>
    <t>Забезпечення діяльності бібліотек</t>
  </si>
  <si>
    <t>1017320</t>
  </si>
  <si>
    <t>1017324</t>
  </si>
  <si>
    <t>1115031</t>
  </si>
  <si>
    <t>7325</t>
  </si>
  <si>
    <t>Будівництво споруд, установ та закладів фізичної культури і спорту</t>
  </si>
  <si>
    <t>Реконструкція стадіону м. Синельникове (у т.ч. ПКД)</t>
  </si>
  <si>
    <t>Реконструкція  центрального стадіону м. Апостолове Апостолівського району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</si>
  <si>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</si>
  <si>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Реконструкція  стадіону смт Кринички Криничанського району (у т.ч. ПКД)</t>
  </si>
  <si>
    <t>Будівництво стадіону в с. Придніпровське Нікопольського району Дніпропетровської області (у т.ч. ПКД)</t>
  </si>
  <si>
    <t>Реконструкція стадіону в смт Покровське, вул. Горького, Покровського району (у т.ч. ПКД)</t>
  </si>
  <si>
    <t>Софіївський  район</t>
  </si>
  <si>
    <t>Реконструкція стадіону в смт. Юр’ївка, в т.ч. ПКД</t>
  </si>
  <si>
    <t>1517330</t>
  </si>
  <si>
    <t>7330</t>
  </si>
  <si>
    <t>Будівництво 2-х секційного житлового будинку у м. Покров (у т.ч. ПКД)</t>
  </si>
  <si>
    <t>Будівництво житлового будинку в сел.Слобожанське Дніпровського району (у т.ч. ПКД)</t>
  </si>
  <si>
    <t xml:space="preserve"> Юр’ївський район</t>
  </si>
  <si>
    <t>1517340</t>
  </si>
  <si>
    <t>7340</t>
  </si>
  <si>
    <t>Назва об’єктів відповідно до проектно-кошторисної документації тощо</t>
  </si>
  <si>
    <t>0100000</t>
  </si>
  <si>
    <t>0110000</t>
  </si>
  <si>
    <t>Усього видатків по обласному бюджету</t>
  </si>
  <si>
    <t>Обласна рада</t>
  </si>
  <si>
    <t>0990</t>
  </si>
  <si>
    <t>0810</t>
  </si>
  <si>
    <t>0763</t>
  </si>
  <si>
    <t>0180</t>
  </si>
  <si>
    <t>Капітальні видатки</t>
  </si>
  <si>
    <t>Будівництво мережі водопостачання по вул.Центральна (Леніна), Поповича, Медова (Терешкової), Миру (Островського), Папаніна, Зарічна (Воровського) с. Іванівка Межівського району Дніпропетровської області ( у т.ч. ПКД та експертиза)</t>
  </si>
  <si>
    <t>Петрикiвський район</t>
  </si>
  <si>
    <t xml:space="preserve">Нове будівництво  магістрального водогону Томаківка – Кисличувате – Преображенка  Томаківського району   (у т.ч. ПКД та експертиза) </t>
  </si>
  <si>
    <t>Реконструкція пішоходного мосту через річку Вовча з вул. Соборної на парк 1-го Травня м. Павлограді Дніпропетровської області   (у т.ч. ПКД та експертиза)</t>
  </si>
  <si>
    <t>Реконструкція аварійної будівлі КЗ „Обласний центр екстреної медичної допомоги та медицини катастроф” ДОР” по вул. Свердлова, буд. 65, м. Дніпропетровськ (у т.ч. ПКД)</t>
  </si>
  <si>
    <t>0710000</t>
  </si>
  <si>
    <t>0712150</t>
  </si>
  <si>
    <t>2150</t>
  </si>
  <si>
    <t>0800000</t>
  </si>
  <si>
    <t>0810000</t>
  </si>
  <si>
    <t>Лікарсько-акушерська допомога вагітним, породіллям та новонародженим</t>
  </si>
  <si>
    <t>0712030</t>
  </si>
  <si>
    <t>2030</t>
  </si>
  <si>
    <t>0733</t>
  </si>
  <si>
    <t>Управління інформаційних технологій та електронного урядування Дніпропетровської обласної державної адміністрації</t>
  </si>
  <si>
    <t>0320</t>
  </si>
  <si>
    <t>Інші заклади та заходи</t>
  </si>
  <si>
    <t>1100000</t>
  </si>
  <si>
    <t>1110000</t>
  </si>
  <si>
    <t>1115030</t>
  </si>
  <si>
    <t>1115033</t>
  </si>
  <si>
    <t>Забезпечення підготовки спортсменів школами вищої спортивної майстерності</t>
  </si>
  <si>
    <t>4080</t>
  </si>
  <si>
    <t>0829</t>
  </si>
  <si>
    <t>Інші заклади та заходи в галузі культури і мистецтва</t>
  </si>
  <si>
    <t>м. Марганець</t>
  </si>
  <si>
    <t>1516080</t>
  </si>
  <si>
    <t>6080</t>
  </si>
  <si>
    <t xml:space="preserve">Реалізація державних та місцевих житлових програм </t>
  </si>
  <si>
    <t>1516083</t>
  </si>
  <si>
    <t>6083</t>
  </si>
  <si>
    <t>0610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</si>
  <si>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</si>
  <si>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1511120</t>
  </si>
  <si>
    <t>1120</t>
  </si>
  <si>
    <t>„Реконструкція вузла обліку витрат природного газу об’єкта – КЗО „Криворізький багатопрофільний навчально-реабілітаційний центр „Натхнення” ДОР”
по вул. Кропивницького, буд. 13, м. Кривий Ріг”</t>
  </si>
  <si>
    <t>„Реконструкція вузла обліку витрат природного газу об’єкта – КЗ „Дніпропетровський дитячо-юнацький центр міжнародного співробітництва”
по вул. Яружна, буд. 49а, м. Дніпро”</t>
  </si>
  <si>
    <t>„Реконструкція існуючих мініфутбольних майданчиків на спортивному комплексі „Олімпійські резерви „КСНЗСП „ДВУФК” ДОР” за адресою: пр. Богдана Хмельницького, 29 А у м. Дніпро"</t>
  </si>
  <si>
    <t>Реконструкція підвального приміщення під електричну модульну установку на основі електродних котлів. Коригування. КЗО „Нікопольський навчально-реабілітаційний центр „Ніка” ДОР” по вул. Рижикова, 34 у м. Нікополь, Дніпропетровської області</t>
  </si>
  <si>
    <t>Реконструкція існуючих приміщень відділення рентгенендоваскулярної  хірургії  з встановленням ангіографічної системи в КЗ „ДОКЦКК”ДОР” за адресою вул. Князя Володимира Великого, 28  м. Дніпро. Корпус Б-5.</t>
  </si>
  <si>
    <t>Реконструкція забору лікувальних грязей із озера Солоний лиман для КЗ „Дніпропетровська обласна фізіотерапевтична лікарня „Солоний лиман”</t>
  </si>
  <si>
    <t>Реконструкція лінії 0,4 кВ від ТП-58 до КЗ „Нікопольський дитячий санаторій” ДОР” вул. Гагаріна, 76</t>
  </si>
  <si>
    <t>Реконструкція системи газопостачання об’єкту – будівель медико-генетичного центру та центру пренатальної діагностики за адресою м. Кривий Ріг
пл. Визволення, 3а (відновлення бракуючої проектної та виконавчо технічної документації) КЗ „Міжобласний центр медичної генетики і пренатальної діагностики імені П.М. Веропотвеляна ”ДОР”</t>
  </si>
  <si>
    <t>Реконструкція суміщеного покриття м’якої покрівлі шляхом влаштування горищного скатного покриття з металочерепичною покрівлею будівлі дитячого відділення КЗ „Криворізький протитуберкульозний диспансер № 2 ”ДОР”за адресою: вул.Кемерівська,35</t>
  </si>
  <si>
    <t>Реконструкція вузла обліку газу топочної складу №1056 КЗ „База спеціального медичного постачання” ДОР” за адресою: м. Апостолово, вул. Медична (Фрунзе), 35а, Дніпропетровська обл.</t>
  </si>
  <si>
    <t>КЗ „Обласний центр екстреної медичної допомоги та медицини катастроф” ДОР” вул. Лікарняна, 1, м. Новомосковськ, Дніпропетровська область. Реконструкція комерційного вузла обліку газу: топкова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</si>
</sst>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0.000"/>
    <numFmt numFmtId="210" formatCode="#,##0.00000;[Red]#,##0.00000"/>
    <numFmt numFmtId="211" formatCode="#,##0.0_ ;[Red]\-#,##0.0\ "/>
    <numFmt numFmtId="212" formatCode="#,##0_ ;[Red]\-#,##0\ "/>
  </numFmts>
  <fonts count="5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i/>
      <u val="single"/>
      <sz val="10"/>
      <name val="Times New Roman"/>
      <family val="1"/>
    </font>
    <font>
      <i/>
      <sz val="11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18"/>
      <name val="Times New Roman"/>
      <family val="1"/>
    </font>
    <font>
      <i/>
      <sz val="11"/>
      <color indexed="8"/>
      <name val="Times New Roman"/>
      <family val="1"/>
    </font>
    <font>
      <sz val="10"/>
      <color indexed="18"/>
      <name val="Times New Roman"/>
      <family val="1"/>
    </font>
    <font>
      <sz val="11"/>
      <name val="Calibri"/>
      <family val="2"/>
    </font>
    <font>
      <b/>
      <sz val="16"/>
      <color indexed="10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 vertical="top"/>
      <protection/>
    </xf>
    <xf numFmtId="0" fontId="25" fillId="0" borderId="6" applyNumberFormat="0" applyFill="0" applyAlignment="0" applyProtection="0"/>
    <xf numFmtId="0" fontId="6" fillId="0" borderId="7" applyNumberFormat="0" applyFill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justify" vertical="center" wrapText="1"/>
    </xf>
    <xf numFmtId="188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1" fillId="0" borderId="10" xfId="0" applyFont="1" applyFill="1" applyBorder="1" applyAlignment="1">
      <alignment horizontal="justify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/>
    </xf>
    <xf numFmtId="0" fontId="16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Alignment="1" applyProtection="1">
      <alignment horizontal="center" vertical="top"/>
      <protection/>
    </xf>
    <xf numFmtId="0" fontId="16" fillId="0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3" fontId="18" fillId="0" borderId="10" xfId="95" applyNumberFormat="1" applyFont="1" applyFill="1" applyBorder="1" applyAlignment="1">
      <alignment vertical="center"/>
      <protection/>
    </xf>
    <xf numFmtId="188" fontId="18" fillId="0" borderId="10" xfId="95" applyNumberFormat="1" applyFont="1" applyFill="1" applyBorder="1" applyAlignment="1">
      <alignment vertical="center"/>
      <protection/>
    </xf>
    <xf numFmtId="3" fontId="29" fillId="0" borderId="10" xfId="95" applyNumberFormat="1" applyFont="1" applyFill="1" applyBorder="1" applyAlignment="1">
      <alignment vertical="center"/>
      <protection/>
    </xf>
    <xf numFmtId="188" fontId="29" fillId="0" borderId="10" xfId="95" applyNumberFormat="1" applyFont="1" applyFill="1" applyBorder="1" applyAlignment="1">
      <alignment vertical="center"/>
      <protection/>
    </xf>
    <xf numFmtId="3" fontId="21" fillId="0" borderId="10" xfId="95" applyNumberFormat="1" applyFont="1" applyFill="1" applyBorder="1" applyAlignment="1">
      <alignment vertical="center"/>
      <protection/>
    </xf>
    <xf numFmtId="188" fontId="21" fillId="0" borderId="10" xfId="95" applyNumberFormat="1" applyFont="1" applyFill="1" applyBorder="1" applyAlignment="1">
      <alignment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34" fillId="0" borderId="0" xfId="105" applyFont="1" applyFill="1" applyAlignment="1">
      <alignment/>
      <protection/>
    </xf>
    <xf numFmtId="4" fontId="29" fillId="0" borderId="10" xfId="95" applyNumberFormat="1" applyFont="1" applyFill="1" applyBorder="1" applyAlignment="1">
      <alignment vertical="center"/>
      <protection/>
    </xf>
    <xf numFmtId="4" fontId="18" fillId="0" borderId="10" xfId="95" applyNumberFormat="1" applyFont="1" applyFill="1" applyBorder="1" applyAlignment="1">
      <alignment vertical="center"/>
      <protection/>
    </xf>
    <xf numFmtId="4" fontId="21" fillId="0" borderId="10" xfId="95" applyNumberFormat="1" applyFont="1" applyFill="1" applyBorder="1" applyAlignment="1">
      <alignment vertical="center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49" fontId="29" fillId="0" borderId="10" xfId="0" applyNumberFormat="1" applyFont="1" applyFill="1" applyBorder="1" applyAlignment="1" applyProtection="1">
      <alignment horizontal="center" vertical="justify"/>
      <protection/>
    </xf>
    <xf numFmtId="0" fontId="11" fillId="0" borderId="10" xfId="0" applyFont="1" applyFill="1" applyBorder="1" applyAlignment="1">
      <alignment/>
    </xf>
    <xf numFmtId="4" fontId="17" fillId="0" borderId="15" xfId="95" applyNumberFormat="1" applyFont="1" applyFill="1" applyBorder="1" applyAlignment="1">
      <alignment vertical="center"/>
      <protection/>
    </xf>
    <xf numFmtId="193" fontId="21" fillId="0" borderId="10" xfId="95" applyNumberFormat="1" applyFont="1" applyFill="1" applyBorder="1" applyAlignment="1">
      <alignment vertical="center"/>
      <protection/>
    </xf>
    <xf numFmtId="193" fontId="18" fillId="0" borderId="10" xfId="95" applyNumberFormat="1" applyFont="1" applyFill="1" applyBorder="1" applyAlignment="1">
      <alignment vertical="center"/>
      <protection/>
    </xf>
    <xf numFmtId="193" fontId="18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37" fillId="0" borderId="10" xfId="95" applyNumberFormat="1" applyFont="1" applyFill="1" applyBorder="1" applyAlignment="1">
      <alignment vertical="center"/>
      <protection/>
    </xf>
    <xf numFmtId="193" fontId="37" fillId="0" borderId="10" xfId="95" applyNumberFormat="1" applyFont="1" applyFill="1" applyBorder="1" applyAlignment="1">
      <alignment vertical="center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104" applyNumberFormat="1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 wrapText="1"/>
    </xf>
    <xf numFmtId="3" fontId="36" fillId="0" borderId="10" xfId="95" applyNumberFormat="1" applyFont="1" applyFill="1" applyBorder="1" applyAlignment="1">
      <alignment vertical="center"/>
      <protection/>
    </xf>
    <xf numFmtId="193" fontId="36" fillId="0" borderId="10" xfId="95" applyNumberFormat="1" applyFont="1" applyFill="1" applyBorder="1" applyAlignment="1">
      <alignment vertical="center"/>
      <protection/>
    </xf>
    <xf numFmtId="0" fontId="28" fillId="0" borderId="13" xfId="0" applyFont="1" applyFill="1" applyBorder="1" applyAlignment="1">
      <alignment/>
    </xf>
    <xf numFmtId="49" fontId="21" fillId="0" borderId="10" xfId="104" applyNumberFormat="1" applyFont="1" applyFill="1" applyBorder="1" applyAlignment="1">
      <alignment horizontal="center" vertical="center" wrapText="1"/>
      <protection/>
    </xf>
    <xf numFmtId="3" fontId="38" fillId="0" borderId="10" xfId="95" applyNumberFormat="1" applyFont="1" applyFill="1" applyBorder="1" applyAlignment="1">
      <alignment vertical="center"/>
      <protection/>
    </xf>
    <xf numFmtId="193" fontId="38" fillId="0" borderId="10" xfId="95" applyNumberFormat="1" applyFont="1" applyFill="1" applyBorder="1" applyAlignment="1">
      <alignment vertical="center"/>
      <protection/>
    </xf>
    <xf numFmtId="0" fontId="39" fillId="0" borderId="13" xfId="0" applyFont="1" applyFill="1" applyBorder="1" applyAlignment="1">
      <alignment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/>
    </xf>
    <xf numFmtId="211" fontId="21" fillId="0" borderId="10" xfId="95" applyNumberFormat="1" applyFont="1" applyFill="1" applyBorder="1" applyAlignment="1">
      <alignment vertical="center"/>
      <protection/>
    </xf>
    <xf numFmtId="212" fontId="21" fillId="0" borderId="10" xfId="95" applyNumberFormat="1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horizontal="left" vertical="center" wrapText="1"/>
    </xf>
    <xf numFmtId="211" fontId="18" fillId="0" borderId="10" xfId="95" applyNumberFormat="1" applyFont="1" applyFill="1" applyBorder="1" applyAlignment="1">
      <alignment vertical="center"/>
      <protection/>
    </xf>
    <xf numFmtId="212" fontId="18" fillId="0" borderId="10" xfId="95" applyNumberFormat="1" applyFont="1" applyFill="1" applyBorder="1" applyAlignment="1">
      <alignment vertical="center"/>
      <protection/>
    </xf>
    <xf numFmtId="49" fontId="21" fillId="0" borderId="18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vertical="center"/>
    </xf>
    <xf numFmtId="193" fontId="18" fillId="0" borderId="18" xfId="95" applyNumberFormat="1" applyFont="1" applyFill="1" applyBorder="1" applyAlignment="1">
      <alignment vertical="center"/>
      <protection/>
    </xf>
    <xf numFmtId="3" fontId="18" fillId="0" borderId="18" xfId="95" applyNumberFormat="1" applyFont="1" applyFill="1" applyBorder="1" applyAlignment="1">
      <alignment vertical="center"/>
      <protection/>
    </xf>
    <xf numFmtId="4" fontId="21" fillId="0" borderId="18" xfId="95" applyNumberFormat="1" applyFont="1" applyFill="1" applyBorder="1" applyAlignment="1">
      <alignment vertical="center"/>
      <protection/>
    </xf>
    <xf numFmtId="49" fontId="37" fillId="0" borderId="10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/>
    </xf>
    <xf numFmtId="3" fontId="18" fillId="0" borderId="17" xfId="95" applyNumberFormat="1" applyFont="1" applyFill="1" applyBorder="1" applyAlignment="1">
      <alignment vertical="center"/>
      <protection/>
    </xf>
    <xf numFmtId="49" fontId="18" fillId="0" borderId="19" xfId="0" applyNumberFormat="1" applyFont="1" applyFill="1" applyBorder="1" applyAlignment="1">
      <alignment horizontal="center" vertical="center" wrapText="1"/>
    </xf>
    <xf numFmtId="3" fontId="18" fillId="0" borderId="19" xfId="95" applyNumberFormat="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/>
    </xf>
    <xf numFmtId="0" fontId="36" fillId="0" borderId="10" xfId="0" applyFont="1" applyFill="1" applyBorder="1" applyAlignment="1">
      <alignment horizontal="justify" vertical="center" wrapText="1"/>
    </xf>
    <xf numFmtId="211" fontId="18" fillId="0" borderId="17" xfId="0" applyNumberFormat="1" applyFont="1" applyFill="1" applyBorder="1" applyAlignment="1">
      <alignment horizontal="right" vertical="center" wrapText="1"/>
    </xf>
    <xf numFmtId="212" fontId="18" fillId="0" borderId="17" xfId="0" applyNumberFormat="1" applyFont="1" applyFill="1" applyBorder="1" applyAlignment="1">
      <alignment horizontal="right" vertical="center" wrapText="1"/>
    </xf>
    <xf numFmtId="49" fontId="29" fillId="0" borderId="20" xfId="0" applyNumberFormat="1" applyFont="1" applyFill="1" applyBorder="1" applyAlignment="1" applyProtection="1">
      <alignment horizontal="center" vertical="justify"/>
      <protection/>
    </xf>
    <xf numFmtId="49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justify" vertical="center" wrapText="1"/>
    </xf>
    <xf numFmtId="3" fontId="29" fillId="0" borderId="20" xfId="95" applyNumberFormat="1" applyFont="1" applyFill="1" applyBorder="1" applyAlignment="1">
      <alignment vertical="center"/>
      <protection/>
    </xf>
    <xf numFmtId="188" fontId="29" fillId="0" borderId="20" xfId="95" applyNumberFormat="1" applyFont="1" applyFill="1" applyBorder="1" applyAlignment="1">
      <alignment vertical="center"/>
      <protection/>
    </xf>
    <xf numFmtId="4" fontId="29" fillId="0" borderId="20" xfId="95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/>
    </xf>
    <xf numFmtId="49" fontId="36" fillId="0" borderId="10" xfId="0" applyNumberFormat="1" applyFont="1" applyFill="1" applyBorder="1" applyAlignment="1" applyProtection="1">
      <alignment horizontal="center" vertical="justify"/>
      <protection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/>
    </xf>
    <xf numFmtId="0" fontId="36" fillId="0" borderId="17" xfId="0" applyFont="1" applyFill="1" applyBorder="1" applyAlignment="1">
      <alignment horizontal="left" vertical="center" wrapText="1"/>
    </xf>
    <xf numFmtId="0" fontId="21" fillId="0" borderId="10" xfId="104" applyFont="1" applyFill="1" applyBorder="1" applyAlignment="1">
      <alignment horizontal="left" vertical="center" wrapText="1"/>
      <protection/>
    </xf>
    <xf numFmtId="0" fontId="18" fillId="0" borderId="10" xfId="104" applyFont="1" applyFill="1" applyBorder="1" applyAlignment="1">
      <alignment horizontal="left" vertical="center" wrapText="1"/>
      <protection/>
    </xf>
    <xf numFmtId="0" fontId="18" fillId="0" borderId="17" xfId="0" applyFont="1" applyFill="1" applyBorder="1" applyAlignment="1">
      <alignment horizontal="justify" vertical="center" wrapText="1"/>
    </xf>
    <xf numFmtId="4" fontId="18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vertical="center"/>
    </xf>
    <xf numFmtId="211" fontId="37" fillId="0" borderId="10" xfId="95" applyNumberFormat="1" applyFont="1" applyFill="1" applyBorder="1" applyAlignment="1">
      <alignment vertical="center"/>
      <protection/>
    </xf>
    <xf numFmtId="212" fontId="37" fillId="0" borderId="10" xfId="95" applyNumberFormat="1" applyFont="1" applyFill="1" applyBorder="1" applyAlignment="1">
      <alignment vertical="center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/>
    </xf>
    <xf numFmtId="3" fontId="46" fillId="0" borderId="10" xfId="95" applyNumberFormat="1" applyFont="1" applyFill="1" applyBorder="1" applyAlignment="1">
      <alignment vertical="center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justify" vertical="center" wrapText="1"/>
    </xf>
    <xf numFmtId="3" fontId="17" fillId="0" borderId="15" xfId="95" applyNumberFormat="1" applyFont="1" applyFill="1" applyBorder="1" applyAlignment="1">
      <alignment vertical="center"/>
      <protection/>
    </xf>
    <xf numFmtId="188" fontId="17" fillId="0" borderId="15" xfId="95" applyNumberFormat="1" applyFont="1" applyFill="1" applyBorder="1" applyAlignment="1">
      <alignment vertical="center"/>
      <protection/>
    </xf>
    <xf numFmtId="3" fontId="17" fillId="0" borderId="10" xfId="95" applyNumberFormat="1" applyFont="1" applyFill="1" applyBorder="1" applyAlignment="1">
      <alignment vertical="center"/>
      <protection/>
    </xf>
    <xf numFmtId="211" fontId="17" fillId="0" borderId="10" xfId="95" applyNumberFormat="1" applyFont="1" applyFill="1" applyBorder="1" applyAlignment="1">
      <alignment vertical="center"/>
      <protection/>
    </xf>
    <xf numFmtId="212" fontId="17" fillId="0" borderId="10" xfId="95" applyNumberFormat="1" applyFont="1" applyFill="1" applyBorder="1" applyAlignment="1">
      <alignment vertical="center"/>
      <protection/>
    </xf>
    <xf numFmtId="0" fontId="36" fillId="0" borderId="10" xfId="104" applyFont="1" applyFill="1" applyBorder="1" applyAlignment="1">
      <alignment horizontal="left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4" fontId="28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93" fontId="29" fillId="0" borderId="10" xfId="95" applyNumberFormat="1" applyFont="1" applyFill="1" applyBorder="1" applyAlignment="1">
      <alignment vertical="center"/>
      <protection/>
    </xf>
    <xf numFmtId="0" fontId="36" fillId="0" borderId="17" xfId="0" applyFont="1" applyFill="1" applyBorder="1" applyAlignment="1">
      <alignment horizontal="justify" vertical="center" wrapText="1"/>
    </xf>
    <xf numFmtId="0" fontId="18" fillId="0" borderId="18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9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19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211" fontId="18" fillId="0" borderId="17" xfId="95" applyNumberFormat="1" applyFont="1" applyFill="1" applyBorder="1" applyAlignment="1">
      <alignment vertical="center"/>
      <protection/>
    </xf>
    <xf numFmtId="212" fontId="18" fillId="0" borderId="17" xfId="95" applyNumberFormat="1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horizontal="left" vertical="center" wrapText="1"/>
    </xf>
    <xf numFmtId="211" fontId="18" fillId="0" borderId="10" xfId="0" applyNumberFormat="1" applyFont="1" applyFill="1" applyBorder="1" applyAlignment="1">
      <alignment horizontal="right" vertical="center" wrapText="1"/>
    </xf>
    <xf numFmtId="212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left" vertical="center" wrapText="1"/>
    </xf>
    <xf numFmtId="211" fontId="21" fillId="0" borderId="10" xfId="0" applyNumberFormat="1" applyFont="1" applyFill="1" applyBorder="1" applyAlignment="1">
      <alignment horizontal="right" vertical="center" wrapText="1"/>
    </xf>
    <xf numFmtId="212" fontId="21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193" fontId="18" fillId="0" borderId="17" xfId="95" applyNumberFormat="1" applyFont="1" applyFill="1" applyBorder="1" applyAlignment="1">
      <alignment vertical="center"/>
      <protection/>
    </xf>
    <xf numFmtId="4" fontId="18" fillId="0" borderId="17" xfId="95" applyNumberFormat="1" applyFont="1" applyFill="1" applyBorder="1" applyAlignment="1">
      <alignment vertical="center"/>
      <protection/>
    </xf>
    <xf numFmtId="4" fontId="18" fillId="0" borderId="18" xfId="95" applyNumberFormat="1" applyFont="1" applyFill="1" applyBorder="1" applyAlignment="1">
      <alignment vertical="center"/>
      <protection/>
    </xf>
    <xf numFmtId="4" fontId="18" fillId="0" borderId="17" xfId="0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center" vertical="center" wrapText="1"/>
    </xf>
    <xf numFmtId="193" fontId="18" fillId="0" borderId="10" xfId="95" applyNumberFormat="1" applyFont="1" applyFill="1" applyBorder="1" applyAlignment="1">
      <alignment horizontal="right" vertical="center" wrapText="1"/>
      <protection/>
    </xf>
    <xf numFmtId="3" fontId="18" fillId="0" borderId="10" xfId="95" applyNumberFormat="1" applyFont="1" applyFill="1" applyBorder="1" applyAlignment="1">
      <alignment horizontal="right" vertical="center" wrapText="1"/>
      <protection/>
    </xf>
    <xf numFmtId="0" fontId="21" fillId="0" borderId="18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211" fontId="46" fillId="0" borderId="10" xfId="0" applyNumberFormat="1" applyFont="1" applyFill="1" applyBorder="1" applyAlignment="1">
      <alignment horizontal="right" vertical="center" wrapText="1"/>
    </xf>
    <xf numFmtId="212" fontId="46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211" fontId="44" fillId="0" borderId="17" xfId="0" applyNumberFormat="1" applyFont="1" applyFill="1" applyBorder="1" applyAlignment="1">
      <alignment horizontal="right" vertical="center" wrapText="1"/>
    </xf>
    <xf numFmtId="212" fontId="44" fillId="0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211" fontId="44" fillId="0" borderId="10" xfId="0" applyNumberFormat="1" applyFont="1" applyFill="1" applyBorder="1" applyAlignment="1">
      <alignment horizontal="right" vertical="center" wrapText="1"/>
    </xf>
    <xf numFmtId="212" fontId="44" fillId="0" borderId="10" xfId="0" applyNumberFormat="1" applyFont="1" applyFill="1" applyBorder="1" applyAlignment="1">
      <alignment horizontal="righ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/>
    </xf>
    <xf numFmtId="0" fontId="21" fillId="0" borderId="19" xfId="0" applyFont="1" applyFill="1" applyBorder="1" applyAlignment="1">
      <alignment horizontal="justify" vertical="center" wrapText="1"/>
    </xf>
    <xf numFmtId="0" fontId="18" fillId="0" borderId="19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justify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 wrapText="1"/>
    </xf>
    <xf numFmtId="3" fontId="17" fillId="0" borderId="0" xfId="95" applyNumberFormat="1" applyFont="1" applyFill="1" applyBorder="1" applyAlignment="1">
      <alignment vertical="center"/>
      <protection/>
    </xf>
    <xf numFmtId="188" fontId="17" fillId="0" borderId="0" xfId="95" applyNumberFormat="1" applyFont="1" applyFill="1" applyBorder="1" applyAlignment="1">
      <alignment vertical="center"/>
      <protection/>
    </xf>
    <xf numFmtId="4" fontId="17" fillId="0" borderId="0" xfId="95" applyNumberFormat="1" applyFont="1" applyFill="1" applyBorder="1" applyAlignment="1">
      <alignment vertical="center"/>
      <protection/>
    </xf>
    <xf numFmtId="0" fontId="21" fillId="0" borderId="21" xfId="0" applyFont="1" applyFill="1" applyBorder="1" applyAlignment="1">
      <alignment horizontal="left" vertical="center" wrapText="1"/>
    </xf>
    <xf numFmtId="3" fontId="18" fillId="0" borderId="22" xfId="95" applyNumberFormat="1" applyFont="1" applyFill="1" applyBorder="1" applyAlignment="1">
      <alignment vertical="center"/>
      <protection/>
    </xf>
    <xf numFmtId="0" fontId="36" fillId="0" borderId="18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justify" vertical="center" wrapText="1"/>
    </xf>
    <xf numFmtId="0" fontId="21" fillId="0" borderId="18" xfId="0" applyFont="1" applyFill="1" applyBorder="1" applyAlignment="1">
      <alignment horizontal="justify" vertical="center" wrapText="1"/>
    </xf>
    <xf numFmtId="0" fontId="33" fillId="0" borderId="0" xfId="105" applyFont="1" applyFill="1" applyAlignment="1">
      <alignment horizontal="center"/>
      <protection/>
    </xf>
    <xf numFmtId="0" fontId="35" fillId="0" borderId="0" xfId="105" applyFont="1" applyFill="1" applyAlignment="1">
      <alignment horizontal="center"/>
      <protection/>
    </xf>
    <xf numFmtId="0" fontId="33" fillId="0" borderId="0" xfId="105" applyFont="1" applyFill="1" applyBorder="1" applyAlignment="1">
      <alignment horizontal="left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106" applyNumberFormat="1" applyFont="1" applyFill="1" applyAlignment="1" applyProtection="1">
      <alignment horizontal="left" vertical="center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5..." xfId="17"/>
    <cellStyle name="20% - Акцент2" xfId="18"/>
    <cellStyle name="20% - Акцент2 2" xfId="19"/>
    <cellStyle name="20% - Акцент2_Додаток 5..." xfId="20"/>
    <cellStyle name="20% - Акцент3" xfId="21"/>
    <cellStyle name="20% - Акцент3 2" xfId="22"/>
    <cellStyle name="20% - Акцент3_Додаток 5..." xfId="23"/>
    <cellStyle name="20% - Акцент4" xfId="24"/>
    <cellStyle name="20% - Акцент4 2" xfId="25"/>
    <cellStyle name="20% - Акцент4_Додаток 5..." xfId="26"/>
    <cellStyle name="20% - Акцент5" xfId="27"/>
    <cellStyle name="20% - Акцент5 2" xfId="28"/>
    <cellStyle name="20% - Акцент5_Додаток 5..." xfId="29"/>
    <cellStyle name="20% - Акцент6" xfId="30"/>
    <cellStyle name="20% - Акцент6 2" xfId="31"/>
    <cellStyle name="20% - Акцент6_Додаток 5..." xfId="32"/>
    <cellStyle name="40% - Акцент1" xfId="33"/>
    <cellStyle name="40% - Акцент1 2" xfId="34"/>
    <cellStyle name="40% - Акцент1_Додаток 5..." xfId="35"/>
    <cellStyle name="40% - Акцент2" xfId="36"/>
    <cellStyle name="40% - Акцент2 2" xfId="37"/>
    <cellStyle name="40% - Акцент2_Додаток 5..." xfId="38"/>
    <cellStyle name="40% - Акцент3" xfId="39"/>
    <cellStyle name="40% - Акцент3 2" xfId="40"/>
    <cellStyle name="40% - Акцент3_Додаток 5..." xfId="41"/>
    <cellStyle name="40% - Акцент4" xfId="42"/>
    <cellStyle name="40% - Акцент4 2" xfId="43"/>
    <cellStyle name="40% - Акцент4_Додаток 5..." xfId="44"/>
    <cellStyle name="40% - Акцент5" xfId="45"/>
    <cellStyle name="40% - Акцент5 2" xfId="46"/>
    <cellStyle name="40% - Акцент5_Додаток 5..." xfId="47"/>
    <cellStyle name="40% - Акцент6" xfId="48"/>
    <cellStyle name="40% - Акцент6 2" xfId="49"/>
    <cellStyle name="40% - Акцент6_Додаток 5...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ычный 2" xfId="103"/>
    <cellStyle name="Обычный 4" xfId="104"/>
    <cellStyle name="Обычный_Додаток 6 джерела.." xfId="105"/>
    <cellStyle name="Обычный_Додаток7 програми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 7 к розпорядж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835"/>
  <sheetViews>
    <sheetView showZeros="0" tabSelected="1" view="pageBreakPreview" zoomScale="106" zoomScaleSheetLayoutView="106" zoomScalePageLayoutView="0" workbookViewId="0" topLeftCell="A1">
      <pane xSplit="4" ySplit="7" topLeftCell="F658" activePane="bottomRight" state="frozen"/>
      <selection pane="topLeft" activeCell="B1" sqref="B1"/>
      <selection pane="topRight" activeCell="F1" sqref="F1"/>
      <selection pane="bottomLeft" activeCell="B6" sqref="B6"/>
      <selection pane="bottomRight" activeCell="E641" sqref="E641"/>
    </sheetView>
  </sheetViews>
  <sheetFormatPr defaultColWidth="9.16015625" defaultRowHeight="48.75" customHeight="1"/>
  <cols>
    <col min="1" max="1" width="13" style="8" customWidth="1"/>
    <col min="2" max="2" width="12.33203125" style="8" customWidth="1"/>
    <col min="3" max="3" width="11.83203125" style="1" customWidth="1"/>
    <col min="4" max="4" width="64.33203125" style="1" customWidth="1"/>
    <col min="5" max="5" width="80" style="1" customWidth="1"/>
    <col min="6" max="6" width="17" style="1" customWidth="1"/>
    <col min="7" max="7" width="16.83203125" style="1" customWidth="1"/>
    <col min="8" max="8" width="18.16015625" style="1" customWidth="1"/>
    <col min="9" max="9" width="21.16015625" style="1" customWidth="1"/>
    <col min="10" max="10" width="17.33203125" style="3" bestFit="1" customWidth="1"/>
    <col min="11" max="11" width="11.5" style="3" bestFit="1" customWidth="1"/>
    <col min="12" max="12" width="9.16015625" style="3" customWidth="1"/>
    <col min="13" max="13" width="14.16015625" style="3" customWidth="1"/>
    <col min="14" max="16384" width="9.16015625" style="3" customWidth="1"/>
  </cols>
  <sheetData>
    <row r="1" spans="1:9" s="16" customFormat="1" ht="18.75">
      <c r="A1" s="14"/>
      <c r="B1" s="14"/>
      <c r="C1" s="15"/>
      <c r="D1" s="15"/>
      <c r="E1" s="15"/>
      <c r="F1" s="15"/>
      <c r="G1" s="178" t="s">
        <v>411</v>
      </c>
      <c r="H1" s="178"/>
      <c r="I1" s="178"/>
    </row>
    <row r="2" spans="1:9" s="16" customFormat="1" ht="18.75">
      <c r="A2" s="14"/>
      <c r="B2" s="14"/>
      <c r="C2" s="15"/>
      <c r="D2" s="15"/>
      <c r="E2" s="15"/>
      <c r="F2" s="15"/>
      <c r="G2" s="178" t="s">
        <v>358</v>
      </c>
      <c r="H2" s="178"/>
      <c r="I2" s="178"/>
    </row>
    <row r="3" spans="1:9" s="16" customFormat="1" ht="18.75">
      <c r="A3" s="14"/>
      <c r="B3" s="14"/>
      <c r="C3" s="15"/>
      <c r="D3" s="15"/>
      <c r="E3" s="15"/>
      <c r="F3" s="15"/>
      <c r="G3" s="178"/>
      <c r="H3" s="178"/>
      <c r="I3" s="178"/>
    </row>
    <row r="4" spans="6:9" ht="16.5">
      <c r="F4" s="2"/>
      <c r="G4" s="2"/>
      <c r="H4" s="181"/>
      <c r="I4" s="181"/>
    </row>
    <row r="5" spans="1:9" ht="25.5" customHeight="1">
      <c r="A5" s="180" t="s">
        <v>488</v>
      </c>
      <c r="B5" s="180"/>
      <c r="C5" s="180"/>
      <c r="D5" s="180"/>
      <c r="E5" s="180"/>
      <c r="F5" s="180"/>
      <c r="G5" s="180"/>
      <c r="H5" s="180"/>
      <c r="I5" s="180"/>
    </row>
    <row r="6" spans="1:9" ht="22.5" customHeight="1">
      <c r="A6" s="12"/>
      <c r="B6" s="12"/>
      <c r="C6" s="12"/>
      <c r="D6" s="12"/>
      <c r="E6" s="4"/>
      <c r="F6" s="4"/>
      <c r="G6" s="5"/>
      <c r="H6" s="4"/>
      <c r="I6" s="13" t="s">
        <v>281</v>
      </c>
    </row>
    <row r="7" spans="1:9" ht="86.25" customHeight="1">
      <c r="A7" s="25" t="s">
        <v>306</v>
      </c>
      <c r="B7" s="26" t="s">
        <v>279</v>
      </c>
      <c r="C7" s="26" t="s">
        <v>280</v>
      </c>
      <c r="D7" s="61" t="s">
        <v>278</v>
      </c>
      <c r="E7" s="27" t="s">
        <v>755</v>
      </c>
      <c r="F7" s="27" t="s">
        <v>283</v>
      </c>
      <c r="G7" s="27" t="s">
        <v>494</v>
      </c>
      <c r="H7" s="27" t="s">
        <v>305</v>
      </c>
      <c r="I7" s="27" t="s">
        <v>284</v>
      </c>
    </row>
    <row r="8" spans="1:9" s="35" customFormat="1" ht="21.75" customHeight="1">
      <c r="A8" s="83" t="s">
        <v>756</v>
      </c>
      <c r="B8" s="83"/>
      <c r="C8" s="84"/>
      <c r="D8" s="84" t="s">
        <v>759</v>
      </c>
      <c r="E8" s="85"/>
      <c r="F8" s="86"/>
      <c r="G8" s="87"/>
      <c r="H8" s="87"/>
      <c r="I8" s="88">
        <f>I9</f>
        <v>132930000</v>
      </c>
    </row>
    <row r="9" spans="1:9" s="36" customFormat="1" ht="25.5" customHeight="1">
      <c r="A9" s="10" t="s">
        <v>757</v>
      </c>
      <c r="B9" s="32"/>
      <c r="C9" s="32"/>
      <c r="D9" s="121" t="s">
        <v>759</v>
      </c>
      <c r="E9" s="33"/>
      <c r="F9" s="20"/>
      <c r="G9" s="21"/>
      <c r="H9" s="21"/>
      <c r="I9" s="29">
        <f>I10+I12+I13+I15+I11</f>
        <v>132930000</v>
      </c>
    </row>
    <row r="10" spans="1:9" s="53" customFormat="1" ht="64.5" customHeight="1">
      <c r="A10" s="50" t="s">
        <v>265</v>
      </c>
      <c r="B10" s="50" t="s">
        <v>266</v>
      </c>
      <c r="C10" s="50" t="s">
        <v>491</v>
      </c>
      <c r="D10" s="66" t="s">
        <v>634</v>
      </c>
      <c r="E10" s="6" t="s">
        <v>764</v>
      </c>
      <c r="F10" s="20"/>
      <c r="G10" s="21"/>
      <c r="H10" s="21"/>
      <c r="I10" s="30">
        <v>600000</v>
      </c>
    </row>
    <row r="11" spans="1:9" s="53" customFormat="1" ht="15">
      <c r="A11" s="50" t="s">
        <v>353</v>
      </c>
      <c r="B11" s="50" t="s">
        <v>354</v>
      </c>
      <c r="C11" s="50" t="s">
        <v>760</v>
      </c>
      <c r="D11" s="66" t="s">
        <v>355</v>
      </c>
      <c r="E11" s="6" t="s">
        <v>764</v>
      </c>
      <c r="F11" s="20"/>
      <c r="G11" s="21"/>
      <c r="H11" s="21"/>
      <c r="I11" s="30">
        <v>100000</v>
      </c>
    </row>
    <row r="12" spans="1:9" s="34" customFormat="1" ht="15">
      <c r="A12" s="50" t="s">
        <v>616</v>
      </c>
      <c r="B12" s="50" t="s">
        <v>617</v>
      </c>
      <c r="C12" s="50" t="s">
        <v>285</v>
      </c>
      <c r="D12" s="66" t="s">
        <v>263</v>
      </c>
      <c r="E12" s="6" t="s">
        <v>764</v>
      </c>
      <c r="F12" s="18"/>
      <c r="G12" s="19"/>
      <c r="H12" s="19"/>
      <c r="I12" s="30">
        <f>93030000+2150000+2200000+280000+800000+8000000</f>
        <v>106460000</v>
      </c>
    </row>
    <row r="13" spans="1:9" s="34" customFormat="1" ht="15">
      <c r="A13" s="50" t="s">
        <v>268</v>
      </c>
      <c r="B13" s="50" t="s">
        <v>269</v>
      </c>
      <c r="C13" s="50"/>
      <c r="D13" s="66" t="s">
        <v>270</v>
      </c>
      <c r="E13" s="6" t="s">
        <v>764</v>
      </c>
      <c r="F13" s="18"/>
      <c r="G13" s="19"/>
      <c r="H13" s="19"/>
      <c r="I13" s="30">
        <f>I14</f>
        <v>4000000</v>
      </c>
    </row>
    <row r="14" spans="1:9" s="47" customFormat="1" ht="15">
      <c r="A14" s="46" t="s">
        <v>376</v>
      </c>
      <c r="B14" s="46" t="s">
        <v>377</v>
      </c>
      <c r="C14" s="48" t="s">
        <v>285</v>
      </c>
      <c r="D14" s="9" t="s">
        <v>423</v>
      </c>
      <c r="E14" s="9" t="s">
        <v>764</v>
      </c>
      <c r="F14" s="22"/>
      <c r="G14" s="23"/>
      <c r="H14" s="23"/>
      <c r="I14" s="31">
        <f>3000000+1000000</f>
        <v>4000000</v>
      </c>
    </row>
    <row r="15" spans="1:9" s="34" customFormat="1" ht="15">
      <c r="A15" s="50" t="s">
        <v>271</v>
      </c>
      <c r="B15" s="50" t="s">
        <v>272</v>
      </c>
      <c r="C15" s="50" t="s">
        <v>763</v>
      </c>
      <c r="D15" s="66" t="s">
        <v>273</v>
      </c>
      <c r="E15" s="6"/>
      <c r="F15" s="18"/>
      <c r="G15" s="19"/>
      <c r="H15" s="19"/>
      <c r="I15" s="30">
        <f>I17+I18</f>
        <v>21770000</v>
      </c>
    </row>
    <row r="16" spans="1:9" s="34" customFormat="1" ht="15">
      <c r="A16" s="50"/>
      <c r="B16" s="50"/>
      <c r="C16" s="50"/>
      <c r="D16" s="66" t="s">
        <v>261</v>
      </c>
      <c r="E16" s="6"/>
      <c r="F16" s="18"/>
      <c r="G16" s="19"/>
      <c r="H16" s="19"/>
      <c r="I16" s="30"/>
    </row>
    <row r="17" spans="1:9" s="47" customFormat="1" ht="120" customHeight="1">
      <c r="A17" s="46"/>
      <c r="B17" s="46"/>
      <c r="C17" s="46"/>
      <c r="D17" s="122" t="s">
        <v>415</v>
      </c>
      <c r="E17" s="9" t="s">
        <v>764</v>
      </c>
      <c r="F17" s="38"/>
      <c r="G17" s="22"/>
      <c r="H17" s="23"/>
      <c r="I17" s="31">
        <f>7000000-2000000</f>
        <v>5000000</v>
      </c>
    </row>
    <row r="18" spans="1:9" s="47" customFormat="1" ht="48.75" customHeight="1">
      <c r="A18" s="46"/>
      <c r="B18" s="46"/>
      <c r="C18" s="46"/>
      <c r="D18" s="123" t="s">
        <v>667</v>
      </c>
      <c r="E18" s="9" t="s">
        <v>764</v>
      </c>
      <c r="F18" s="38"/>
      <c r="G18" s="22"/>
      <c r="H18" s="23"/>
      <c r="I18" s="31">
        <f>13770000+3000000</f>
        <v>16770000</v>
      </c>
    </row>
    <row r="19" spans="1:9" s="53" customFormat="1" ht="22.5" customHeight="1">
      <c r="A19" s="10" t="s">
        <v>568</v>
      </c>
      <c r="B19" s="10"/>
      <c r="C19" s="10"/>
      <c r="D19" s="121" t="s">
        <v>567</v>
      </c>
      <c r="E19" s="11"/>
      <c r="F19" s="20"/>
      <c r="G19" s="21"/>
      <c r="H19" s="21"/>
      <c r="I19" s="29">
        <f>I20</f>
        <v>40000</v>
      </c>
    </row>
    <row r="20" spans="1:9" s="53" customFormat="1" ht="18.75" customHeight="1">
      <c r="A20" s="10" t="s">
        <v>569</v>
      </c>
      <c r="B20" s="10"/>
      <c r="C20" s="10"/>
      <c r="D20" s="121" t="s">
        <v>567</v>
      </c>
      <c r="E20" s="11"/>
      <c r="F20" s="20"/>
      <c r="G20" s="21"/>
      <c r="H20" s="21"/>
      <c r="I20" s="29">
        <f>I21</f>
        <v>40000</v>
      </c>
    </row>
    <row r="21" spans="1:9" s="34" customFormat="1" ht="15">
      <c r="A21" s="50" t="s">
        <v>570</v>
      </c>
      <c r="B21" s="50" t="s">
        <v>601</v>
      </c>
      <c r="C21" s="50"/>
      <c r="D21" s="66" t="s">
        <v>781</v>
      </c>
      <c r="E21" s="6"/>
      <c r="F21" s="18"/>
      <c r="G21" s="19"/>
      <c r="H21" s="19"/>
      <c r="I21" s="30">
        <f>I22</f>
        <v>40000</v>
      </c>
    </row>
    <row r="22" spans="1:9" s="47" customFormat="1" ht="30">
      <c r="A22" s="46" t="s">
        <v>571</v>
      </c>
      <c r="B22" s="46" t="s">
        <v>602</v>
      </c>
      <c r="C22" s="48">
        <v>1090</v>
      </c>
      <c r="D22" s="9" t="s">
        <v>603</v>
      </c>
      <c r="E22" s="9"/>
      <c r="F22" s="22"/>
      <c r="G22" s="23"/>
      <c r="H22" s="23"/>
      <c r="I22" s="31">
        <v>40000</v>
      </c>
    </row>
    <row r="23" spans="1:9" s="53" customFormat="1" ht="28.5">
      <c r="A23" s="10" t="s">
        <v>274</v>
      </c>
      <c r="B23" s="10"/>
      <c r="C23" s="10"/>
      <c r="D23" s="121" t="s">
        <v>262</v>
      </c>
      <c r="E23" s="11"/>
      <c r="F23" s="20"/>
      <c r="G23" s="21"/>
      <c r="H23" s="21"/>
      <c r="I23" s="29">
        <f>I24</f>
        <v>144634091.67000002</v>
      </c>
    </row>
    <row r="24" spans="1:9" s="53" customFormat="1" ht="28.5">
      <c r="A24" s="10" t="s">
        <v>275</v>
      </c>
      <c r="B24" s="10"/>
      <c r="C24" s="10"/>
      <c r="D24" s="121" t="s">
        <v>262</v>
      </c>
      <c r="E24" s="11"/>
      <c r="F24" s="20"/>
      <c r="G24" s="21"/>
      <c r="H24" s="21"/>
      <c r="I24" s="29">
        <f>I38+I46+I31+I28+I32+I36+I37+I40+I25+I33+I47</f>
        <v>144634091.67000002</v>
      </c>
    </row>
    <row r="25" spans="1:9" s="53" customFormat="1" ht="45">
      <c r="A25" s="50" t="s">
        <v>534</v>
      </c>
      <c r="B25" s="50" t="s">
        <v>239</v>
      </c>
      <c r="C25" s="50" t="s">
        <v>481</v>
      </c>
      <c r="D25" s="66" t="s">
        <v>550</v>
      </c>
      <c r="E25" s="6" t="s">
        <v>764</v>
      </c>
      <c r="F25" s="20"/>
      <c r="G25" s="21"/>
      <c r="H25" s="21"/>
      <c r="I25" s="30">
        <f>167950+5632247</f>
        <v>5800197</v>
      </c>
    </row>
    <row r="26" spans="1:9" s="47" customFormat="1" ht="15">
      <c r="A26" s="46"/>
      <c r="B26" s="46"/>
      <c r="C26" s="46"/>
      <c r="D26" s="122" t="s">
        <v>261</v>
      </c>
      <c r="E26" s="9"/>
      <c r="F26" s="22"/>
      <c r="G26" s="23"/>
      <c r="H26" s="22"/>
      <c r="I26" s="31"/>
    </row>
    <row r="27" spans="1:9" s="47" customFormat="1" ht="15">
      <c r="A27" s="46"/>
      <c r="B27" s="46"/>
      <c r="C27" s="46"/>
      <c r="D27" s="122" t="s">
        <v>489</v>
      </c>
      <c r="E27" s="9"/>
      <c r="F27" s="22"/>
      <c r="G27" s="23"/>
      <c r="H27" s="22"/>
      <c r="I27" s="31">
        <v>460075</v>
      </c>
    </row>
    <row r="28" spans="1:9" s="53" customFormat="1" ht="60">
      <c r="A28" s="50" t="s">
        <v>445</v>
      </c>
      <c r="B28" s="50" t="s">
        <v>446</v>
      </c>
      <c r="C28" s="50" t="s">
        <v>481</v>
      </c>
      <c r="D28" s="66" t="s">
        <v>551</v>
      </c>
      <c r="E28" s="6" t="s">
        <v>764</v>
      </c>
      <c r="F28" s="20"/>
      <c r="G28" s="21"/>
      <c r="H28" s="21"/>
      <c r="I28" s="30">
        <f>7000000+621415+10885862+2068250</f>
        <v>20575527</v>
      </c>
    </row>
    <row r="29" spans="1:9" s="47" customFormat="1" ht="15">
      <c r="A29" s="46"/>
      <c r="B29" s="46"/>
      <c r="C29" s="46"/>
      <c r="D29" s="122" t="s">
        <v>261</v>
      </c>
      <c r="E29" s="9"/>
      <c r="F29" s="22"/>
      <c r="G29" s="23"/>
      <c r="H29" s="22"/>
      <c r="I29" s="31"/>
    </row>
    <row r="30" spans="1:9" s="47" customFormat="1" ht="15">
      <c r="A30" s="46"/>
      <c r="B30" s="46"/>
      <c r="C30" s="46"/>
      <c r="D30" s="122" t="s">
        <v>489</v>
      </c>
      <c r="E30" s="9"/>
      <c r="F30" s="22"/>
      <c r="G30" s="23"/>
      <c r="H30" s="22"/>
      <c r="I30" s="31">
        <v>1333270</v>
      </c>
    </row>
    <row r="31" spans="1:9" s="34" customFormat="1" ht="90">
      <c r="A31" s="50" t="s">
        <v>398</v>
      </c>
      <c r="B31" s="50" t="s">
        <v>480</v>
      </c>
      <c r="C31" s="50" t="s">
        <v>481</v>
      </c>
      <c r="D31" s="66" t="s">
        <v>797</v>
      </c>
      <c r="E31" s="6" t="s">
        <v>764</v>
      </c>
      <c r="F31" s="18"/>
      <c r="G31" s="19"/>
      <c r="H31" s="19"/>
      <c r="I31" s="30">
        <f>4018500+4400000+458256</f>
        <v>8876756</v>
      </c>
    </row>
    <row r="32" spans="1:9" s="34" customFormat="1" ht="30">
      <c r="A32" s="50" t="s">
        <v>447</v>
      </c>
      <c r="B32" s="50" t="s">
        <v>633</v>
      </c>
      <c r="C32" s="50" t="s">
        <v>481</v>
      </c>
      <c r="D32" s="66" t="s">
        <v>448</v>
      </c>
      <c r="E32" s="6" t="s">
        <v>764</v>
      </c>
      <c r="F32" s="18"/>
      <c r="G32" s="19"/>
      <c r="H32" s="19"/>
      <c r="I32" s="30">
        <f>622000+1148376</f>
        <v>1770376</v>
      </c>
    </row>
    <row r="33" spans="1:9" s="34" customFormat="1" ht="30">
      <c r="A33" s="50" t="s">
        <v>552</v>
      </c>
      <c r="B33" s="50" t="s">
        <v>553</v>
      </c>
      <c r="C33" s="50" t="s">
        <v>554</v>
      </c>
      <c r="D33" s="66" t="s">
        <v>555</v>
      </c>
      <c r="E33" s="6" t="s">
        <v>764</v>
      </c>
      <c r="F33" s="18"/>
      <c r="G33" s="19"/>
      <c r="H33" s="19"/>
      <c r="I33" s="30">
        <f>2930000-440000</f>
        <v>2490000</v>
      </c>
    </row>
    <row r="34" spans="1:9" s="47" customFormat="1" ht="15">
      <c r="A34" s="46"/>
      <c r="B34" s="46"/>
      <c r="C34" s="46"/>
      <c r="D34" s="122" t="s">
        <v>261</v>
      </c>
      <c r="E34" s="9"/>
      <c r="F34" s="22"/>
      <c r="G34" s="23"/>
      <c r="H34" s="22"/>
      <c r="I34" s="31"/>
    </row>
    <row r="35" spans="1:9" s="47" customFormat="1" ht="15">
      <c r="A35" s="46"/>
      <c r="B35" s="46"/>
      <c r="C35" s="46"/>
      <c r="D35" s="122" t="s">
        <v>489</v>
      </c>
      <c r="E35" s="9"/>
      <c r="F35" s="22"/>
      <c r="G35" s="23"/>
      <c r="H35" s="22"/>
      <c r="I35" s="31">
        <f>2930000-440000</f>
        <v>2490000</v>
      </c>
    </row>
    <row r="36" spans="1:9" s="34" customFormat="1" ht="30">
      <c r="A36" s="50" t="s">
        <v>449</v>
      </c>
      <c r="B36" s="50" t="s">
        <v>799</v>
      </c>
      <c r="C36" s="50" t="s">
        <v>311</v>
      </c>
      <c r="D36" s="66" t="s">
        <v>406</v>
      </c>
      <c r="E36" s="6" t="s">
        <v>764</v>
      </c>
      <c r="F36" s="18"/>
      <c r="G36" s="19"/>
      <c r="H36" s="19"/>
      <c r="I36" s="30">
        <f>6500000+2600000+300000</f>
        <v>9400000</v>
      </c>
    </row>
    <row r="37" spans="1:9" s="34" customFormat="1" ht="30">
      <c r="A37" s="50" t="s">
        <v>450</v>
      </c>
      <c r="B37" s="50" t="s">
        <v>451</v>
      </c>
      <c r="C37" s="50" t="s">
        <v>452</v>
      </c>
      <c r="D37" s="66" t="s">
        <v>453</v>
      </c>
      <c r="E37" s="6" t="s">
        <v>764</v>
      </c>
      <c r="F37" s="18"/>
      <c r="G37" s="19"/>
      <c r="H37" s="19"/>
      <c r="I37" s="30">
        <v>3824500</v>
      </c>
    </row>
    <row r="38" spans="1:9" s="34" customFormat="1" ht="21" customHeight="1">
      <c r="A38" s="50" t="s">
        <v>276</v>
      </c>
      <c r="B38" s="50" t="s">
        <v>612</v>
      </c>
      <c r="C38" s="50"/>
      <c r="D38" s="66" t="s">
        <v>267</v>
      </c>
      <c r="E38" s="6"/>
      <c r="F38" s="18"/>
      <c r="G38" s="19"/>
      <c r="H38" s="19"/>
      <c r="I38" s="30">
        <f>I39</f>
        <v>22438031.92</v>
      </c>
    </row>
    <row r="39" spans="1:9" s="47" customFormat="1" ht="21" customHeight="1">
      <c r="A39" s="46" t="s">
        <v>392</v>
      </c>
      <c r="B39" s="46" t="s">
        <v>393</v>
      </c>
      <c r="C39" s="46" t="s">
        <v>760</v>
      </c>
      <c r="D39" s="122" t="s">
        <v>394</v>
      </c>
      <c r="E39" s="9" t="s">
        <v>764</v>
      </c>
      <c r="F39" s="22"/>
      <c r="G39" s="23"/>
      <c r="H39" s="23"/>
      <c r="I39" s="31">
        <f>20240031.92+2000000+198000</f>
        <v>22438031.92</v>
      </c>
    </row>
    <row r="40" spans="1:9" s="47" customFormat="1" ht="21" customHeight="1">
      <c r="A40" s="50" t="s">
        <v>264</v>
      </c>
      <c r="B40" s="50" t="s">
        <v>645</v>
      </c>
      <c r="C40" s="46"/>
      <c r="D40" s="6" t="s">
        <v>605</v>
      </c>
      <c r="E40" s="9"/>
      <c r="F40" s="22"/>
      <c r="G40" s="23"/>
      <c r="H40" s="23"/>
      <c r="I40" s="30">
        <f>I41</f>
        <v>5867294</v>
      </c>
    </row>
    <row r="41" spans="1:9" s="47" customFormat="1" ht="21" customHeight="1">
      <c r="A41" s="46" t="s">
        <v>454</v>
      </c>
      <c r="B41" s="46" t="s">
        <v>346</v>
      </c>
      <c r="C41" s="46" t="s">
        <v>609</v>
      </c>
      <c r="D41" s="122" t="s">
        <v>350</v>
      </c>
      <c r="E41" s="9"/>
      <c r="F41" s="22"/>
      <c r="G41" s="23"/>
      <c r="H41" s="23"/>
      <c r="I41" s="31">
        <f>I42+I43+I44+I45</f>
        <v>5867294</v>
      </c>
    </row>
    <row r="42" spans="1:9" s="47" customFormat="1" ht="60">
      <c r="A42" s="46"/>
      <c r="B42" s="46"/>
      <c r="C42" s="46"/>
      <c r="D42" s="122"/>
      <c r="E42" s="6" t="s">
        <v>800</v>
      </c>
      <c r="F42" s="18"/>
      <c r="G42" s="19"/>
      <c r="H42" s="19"/>
      <c r="I42" s="30">
        <v>350000</v>
      </c>
    </row>
    <row r="43" spans="1:9" s="47" customFormat="1" ht="60">
      <c r="A43" s="50"/>
      <c r="B43" s="50"/>
      <c r="C43" s="50"/>
      <c r="D43" s="66"/>
      <c r="E43" s="6" t="s">
        <v>801</v>
      </c>
      <c r="F43" s="18"/>
      <c r="G43" s="19"/>
      <c r="H43" s="19"/>
      <c r="I43" s="30">
        <v>300000</v>
      </c>
    </row>
    <row r="44" spans="1:9" s="47" customFormat="1" ht="45">
      <c r="A44" s="50"/>
      <c r="B44" s="50"/>
      <c r="C44" s="50"/>
      <c r="D44" s="66"/>
      <c r="E44" s="6" t="s">
        <v>802</v>
      </c>
      <c r="F44" s="18"/>
      <c r="G44" s="19"/>
      <c r="H44" s="19"/>
      <c r="I44" s="30">
        <v>1500000</v>
      </c>
    </row>
    <row r="45" spans="1:9" s="47" customFormat="1" ht="60">
      <c r="A45" s="50"/>
      <c r="B45" s="50"/>
      <c r="C45" s="50"/>
      <c r="D45" s="66"/>
      <c r="E45" s="6" t="s">
        <v>803</v>
      </c>
      <c r="F45" s="18"/>
      <c r="G45" s="19"/>
      <c r="H45" s="19"/>
      <c r="I45" s="30">
        <v>3717294</v>
      </c>
    </row>
    <row r="46" spans="1:9" s="34" customFormat="1" ht="45">
      <c r="A46" s="50" t="s">
        <v>395</v>
      </c>
      <c r="B46" s="50" t="s">
        <v>396</v>
      </c>
      <c r="C46" s="50" t="s">
        <v>763</v>
      </c>
      <c r="D46" s="66" t="s">
        <v>397</v>
      </c>
      <c r="E46" s="6" t="s">
        <v>764</v>
      </c>
      <c r="F46" s="18"/>
      <c r="G46" s="19"/>
      <c r="H46" s="19"/>
      <c r="I46" s="30">
        <v>54439785.75</v>
      </c>
    </row>
    <row r="47" spans="1:9" s="34" customFormat="1" ht="15">
      <c r="A47" s="50" t="s">
        <v>690</v>
      </c>
      <c r="B47" s="50" t="s">
        <v>272</v>
      </c>
      <c r="C47" s="50" t="s">
        <v>763</v>
      </c>
      <c r="D47" s="66" t="s">
        <v>273</v>
      </c>
      <c r="E47" s="6"/>
      <c r="F47" s="18"/>
      <c r="G47" s="19"/>
      <c r="H47" s="19"/>
      <c r="I47" s="30">
        <f>I49</f>
        <v>9151624</v>
      </c>
    </row>
    <row r="48" spans="1:9" s="34" customFormat="1" ht="15">
      <c r="A48" s="50"/>
      <c r="B48" s="50"/>
      <c r="C48" s="50"/>
      <c r="D48" s="66" t="s">
        <v>261</v>
      </c>
      <c r="E48" s="6"/>
      <c r="F48" s="18"/>
      <c r="G48" s="19"/>
      <c r="H48" s="19"/>
      <c r="I48" s="30"/>
    </row>
    <row r="49" spans="1:9" s="34" customFormat="1" ht="30">
      <c r="A49" s="50"/>
      <c r="B49" s="50"/>
      <c r="C49" s="50"/>
      <c r="D49" s="9" t="s">
        <v>691</v>
      </c>
      <c r="E49" s="6"/>
      <c r="F49" s="18"/>
      <c r="G49" s="19"/>
      <c r="H49" s="19"/>
      <c r="I49" s="31">
        <v>9151624</v>
      </c>
    </row>
    <row r="50" spans="1:9" s="53" customFormat="1" ht="28.5">
      <c r="A50" s="10" t="s">
        <v>277</v>
      </c>
      <c r="B50" s="10"/>
      <c r="C50" s="10"/>
      <c r="D50" s="121" t="s">
        <v>722</v>
      </c>
      <c r="E50" s="11"/>
      <c r="F50" s="20"/>
      <c r="G50" s="21"/>
      <c r="H50" s="21"/>
      <c r="I50" s="29">
        <f>I51</f>
        <v>470536833.45</v>
      </c>
    </row>
    <row r="51" spans="1:10" s="53" customFormat="1" ht="28.5">
      <c r="A51" s="10" t="s">
        <v>770</v>
      </c>
      <c r="B51" s="10"/>
      <c r="C51" s="10"/>
      <c r="D51" s="121" t="s">
        <v>722</v>
      </c>
      <c r="E51" s="11"/>
      <c r="F51" s="20"/>
      <c r="G51" s="21"/>
      <c r="H51" s="21"/>
      <c r="I51" s="29">
        <f>I53+I55+I57+I64+I63+I67+I52+I54+I56</f>
        <v>470536833.45</v>
      </c>
      <c r="J51" s="116">
        <f>I51-I63</f>
        <v>470373833.45</v>
      </c>
    </row>
    <row r="52" spans="1:9" s="34" customFormat="1" ht="24" customHeight="1">
      <c r="A52" s="50" t="s">
        <v>715</v>
      </c>
      <c r="B52" s="50" t="s">
        <v>313</v>
      </c>
      <c r="C52" s="50" t="s">
        <v>314</v>
      </c>
      <c r="D52" s="66" t="s">
        <v>315</v>
      </c>
      <c r="E52" s="6" t="s">
        <v>764</v>
      </c>
      <c r="F52" s="18"/>
      <c r="G52" s="19"/>
      <c r="H52" s="18"/>
      <c r="I52" s="30">
        <f>900000+5000000+150000+588642</f>
        <v>6638642</v>
      </c>
    </row>
    <row r="53" spans="1:9" s="34" customFormat="1" ht="24" customHeight="1">
      <c r="A53" s="50" t="s">
        <v>399</v>
      </c>
      <c r="B53" s="50" t="s">
        <v>317</v>
      </c>
      <c r="C53" s="50" t="s">
        <v>318</v>
      </c>
      <c r="D53" s="66" t="s">
        <v>400</v>
      </c>
      <c r="E53" s="6" t="s">
        <v>764</v>
      </c>
      <c r="F53" s="18"/>
      <c r="G53" s="19"/>
      <c r="H53" s="18"/>
      <c r="I53" s="30">
        <f>2000000+12416132+548600+6827536</f>
        <v>21792268</v>
      </c>
    </row>
    <row r="54" spans="1:9" s="34" customFormat="1" ht="30">
      <c r="A54" s="50" t="s">
        <v>776</v>
      </c>
      <c r="B54" s="50" t="s">
        <v>777</v>
      </c>
      <c r="C54" s="50" t="s">
        <v>778</v>
      </c>
      <c r="D54" s="66" t="s">
        <v>775</v>
      </c>
      <c r="E54" s="6" t="s">
        <v>764</v>
      </c>
      <c r="F54" s="18"/>
      <c r="G54" s="19"/>
      <c r="H54" s="18"/>
      <c r="I54" s="30">
        <v>75000</v>
      </c>
    </row>
    <row r="55" spans="1:9" s="34" customFormat="1" ht="24" customHeight="1">
      <c r="A55" s="50" t="s">
        <v>401</v>
      </c>
      <c r="B55" s="50" t="s">
        <v>402</v>
      </c>
      <c r="C55" s="50" t="s">
        <v>403</v>
      </c>
      <c r="D55" s="66" t="s">
        <v>404</v>
      </c>
      <c r="E55" s="6" t="s">
        <v>764</v>
      </c>
      <c r="F55" s="18"/>
      <c r="G55" s="19"/>
      <c r="H55" s="18"/>
      <c r="I55" s="30">
        <f>1824500+35000</f>
        <v>1859500</v>
      </c>
    </row>
    <row r="56" spans="1:9" s="34" customFormat="1" ht="31.5" customHeight="1">
      <c r="A56" s="50" t="s">
        <v>556</v>
      </c>
      <c r="B56" s="50" t="s">
        <v>557</v>
      </c>
      <c r="C56" s="50" t="s">
        <v>558</v>
      </c>
      <c r="D56" s="66" t="s">
        <v>559</v>
      </c>
      <c r="E56" s="6" t="s">
        <v>764</v>
      </c>
      <c r="F56" s="18"/>
      <c r="G56" s="19"/>
      <c r="H56" s="18"/>
      <c r="I56" s="30">
        <v>100000</v>
      </c>
    </row>
    <row r="57" spans="1:9" s="34" customFormat="1" ht="21" customHeight="1">
      <c r="A57" s="50" t="s">
        <v>771</v>
      </c>
      <c r="B57" s="50" t="s">
        <v>772</v>
      </c>
      <c r="C57" s="50"/>
      <c r="D57" s="66" t="s">
        <v>433</v>
      </c>
      <c r="E57" s="6"/>
      <c r="F57" s="18"/>
      <c r="G57" s="19"/>
      <c r="H57" s="18"/>
      <c r="I57" s="30">
        <f>I60</f>
        <v>412781797.45</v>
      </c>
    </row>
    <row r="58" spans="1:9" s="47" customFormat="1" ht="15">
      <c r="A58" s="46"/>
      <c r="B58" s="46"/>
      <c r="C58" s="46"/>
      <c r="D58" s="122" t="s">
        <v>261</v>
      </c>
      <c r="E58" s="9"/>
      <c r="F58" s="22"/>
      <c r="G58" s="23"/>
      <c r="H58" s="22"/>
      <c r="I58" s="31"/>
    </row>
    <row r="59" spans="1:9" s="47" customFormat="1" ht="15">
      <c r="A59" s="46"/>
      <c r="B59" s="46"/>
      <c r="C59" s="46"/>
      <c r="D59" s="122" t="s">
        <v>489</v>
      </c>
      <c r="E59" s="9"/>
      <c r="F59" s="22"/>
      <c r="G59" s="23"/>
      <c r="H59" s="22"/>
      <c r="I59" s="31">
        <f>I62</f>
        <v>190722600</v>
      </c>
    </row>
    <row r="60" spans="1:9" s="47" customFormat="1" ht="19.5" customHeight="1">
      <c r="A60" s="46" t="s">
        <v>430</v>
      </c>
      <c r="B60" s="46" t="s">
        <v>431</v>
      </c>
      <c r="C60" s="46" t="s">
        <v>762</v>
      </c>
      <c r="D60" s="122" t="s">
        <v>432</v>
      </c>
      <c r="E60" s="9" t="s">
        <v>764</v>
      </c>
      <c r="F60" s="22"/>
      <c r="G60" s="23"/>
      <c r="H60" s="22"/>
      <c r="I60" s="31">
        <f>423381797.45-5100000-15500000+10000000</f>
        <v>412781797.45</v>
      </c>
    </row>
    <row r="61" spans="1:9" s="47" customFormat="1" ht="15">
      <c r="A61" s="46"/>
      <c r="B61" s="46"/>
      <c r="C61" s="46"/>
      <c r="D61" s="122" t="s">
        <v>261</v>
      </c>
      <c r="E61" s="9"/>
      <c r="F61" s="22"/>
      <c r="G61" s="23"/>
      <c r="H61" s="22"/>
      <c r="I61" s="31"/>
    </row>
    <row r="62" spans="1:9" s="47" customFormat="1" ht="15">
      <c r="A62" s="46"/>
      <c r="B62" s="46"/>
      <c r="C62" s="46"/>
      <c r="D62" s="122" t="s">
        <v>489</v>
      </c>
      <c r="E62" s="9"/>
      <c r="F62" s="22"/>
      <c r="G62" s="23"/>
      <c r="H62" s="22"/>
      <c r="I62" s="31">
        <v>190722600</v>
      </c>
    </row>
    <row r="63" spans="1:9" s="34" customFormat="1" ht="15">
      <c r="A63" s="50" t="s">
        <v>581</v>
      </c>
      <c r="B63" s="50" t="s">
        <v>733</v>
      </c>
      <c r="C63" s="50" t="s">
        <v>704</v>
      </c>
      <c r="D63" s="66" t="s">
        <v>734</v>
      </c>
      <c r="E63" s="6" t="s">
        <v>764</v>
      </c>
      <c r="F63" s="18"/>
      <c r="G63" s="19"/>
      <c r="H63" s="18"/>
      <c r="I63" s="30">
        <v>163000</v>
      </c>
    </row>
    <row r="64" spans="1:9" s="34" customFormat="1" ht="16.5" customHeight="1">
      <c r="A64" s="50" t="s">
        <v>509</v>
      </c>
      <c r="B64" s="50" t="s">
        <v>272</v>
      </c>
      <c r="C64" s="50" t="s">
        <v>763</v>
      </c>
      <c r="D64" s="66" t="s">
        <v>273</v>
      </c>
      <c r="E64" s="6"/>
      <c r="F64" s="18"/>
      <c r="G64" s="19"/>
      <c r="H64" s="18"/>
      <c r="I64" s="30">
        <f>I66</f>
        <v>18000000</v>
      </c>
    </row>
    <row r="65" spans="1:9" s="34" customFormat="1" ht="16.5" customHeight="1">
      <c r="A65" s="50"/>
      <c r="B65" s="50"/>
      <c r="C65" s="50"/>
      <c r="D65" s="66" t="s">
        <v>261</v>
      </c>
      <c r="E65" s="6"/>
      <c r="F65" s="18"/>
      <c r="G65" s="19"/>
      <c r="H65" s="18"/>
      <c r="I65" s="30"/>
    </row>
    <row r="66" spans="1:9" s="47" customFormat="1" ht="45">
      <c r="A66" s="46"/>
      <c r="B66" s="46"/>
      <c r="C66" s="46"/>
      <c r="D66" s="9" t="s">
        <v>512</v>
      </c>
      <c r="E66" s="9"/>
      <c r="F66" s="22"/>
      <c r="G66" s="23"/>
      <c r="H66" s="22"/>
      <c r="I66" s="31">
        <v>18000000</v>
      </c>
    </row>
    <row r="67" spans="1:9" s="34" customFormat="1" ht="18" customHeight="1">
      <c r="A67" s="50" t="s">
        <v>707</v>
      </c>
      <c r="B67" s="50" t="s">
        <v>645</v>
      </c>
      <c r="C67" s="50"/>
      <c r="D67" s="6" t="s">
        <v>605</v>
      </c>
      <c r="E67" s="6"/>
      <c r="F67" s="18"/>
      <c r="G67" s="19"/>
      <c r="H67" s="18"/>
      <c r="I67" s="30">
        <f>I68</f>
        <v>9126626</v>
      </c>
    </row>
    <row r="68" spans="1:9" s="47" customFormat="1" ht="18.75" customHeight="1">
      <c r="A68" s="46" t="s">
        <v>708</v>
      </c>
      <c r="B68" s="46" t="s">
        <v>381</v>
      </c>
      <c r="C68" s="46" t="s">
        <v>609</v>
      </c>
      <c r="D68" s="9" t="s">
        <v>709</v>
      </c>
      <c r="E68" s="9"/>
      <c r="F68" s="22"/>
      <c r="G68" s="23"/>
      <c r="H68" s="22"/>
      <c r="I68" s="31">
        <f>SUM(I69:I81)</f>
        <v>9126626</v>
      </c>
    </row>
    <row r="69" spans="1:9" s="47" customFormat="1" ht="45">
      <c r="A69" s="46"/>
      <c r="B69" s="46"/>
      <c r="C69" s="46"/>
      <c r="D69" s="9"/>
      <c r="E69" s="6" t="s">
        <v>804</v>
      </c>
      <c r="F69" s="19">
        <v>2000000</v>
      </c>
      <c r="G69" s="19">
        <v>100</v>
      </c>
      <c r="H69" s="18"/>
      <c r="I69" s="30">
        <v>2000000</v>
      </c>
    </row>
    <row r="70" spans="1:9" s="47" customFormat="1" ht="30">
      <c r="A70" s="46"/>
      <c r="B70" s="46"/>
      <c r="C70" s="46"/>
      <c r="D70" s="9"/>
      <c r="E70" s="6" t="s">
        <v>805</v>
      </c>
      <c r="F70" s="18">
        <v>421589</v>
      </c>
      <c r="G70" s="19">
        <v>100</v>
      </c>
      <c r="H70" s="18"/>
      <c r="I70" s="30">
        <v>130000</v>
      </c>
    </row>
    <row r="71" spans="1:9" s="47" customFormat="1" ht="30">
      <c r="A71" s="46"/>
      <c r="B71" s="46"/>
      <c r="C71" s="46"/>
      <c r="D71" s="9"/>
      <c r="E71" s="6" t="s">
        <v>806</v>
      </c>
      <c r="F71" s="18">
        <v>400000</v>
      </c>
      <c r="G71" s="19">
        <v>50</v>
      </c>
      <c r="H71" s="18">
        <v>200000</v>
      </c>
      <c r="I71" s="30">
        <v>200000</v>
      </c>
    </row>
    <row r="72" spans="1:9" s="47" customFormat="1" ht="90">
      <c r="A72" s="46"/>
      <c r="B72" s="46"/>
      <c r="C72" s="46"/>
      <c r="D72" s="9"/>
      <c r="E72" s="6" t="s">
        <v>807</v>
      </c>
      <c r="F72" s="18">
        <v>150000</v>
      </c>
      <c r="G72" s="19">
        <v>100</v>
      </c>
      <c r="H72" s="18"/>
      <c r="I72" s="30">
        <v>150000</v>
      </c>
    </row>
    <row r="73" spans="1:9" s="47" customFormat="1" ht="75">
      <c r="A73" s="46"/>
      <c r="B73" s="46"/>
      <c r="C73" s="46"/>
      <c r="D73" s="9"/>
      <c r="E73" s="6" t="s">
        <v>808</v>
      </c>
      <c r="F73" s="18">
        <v>4471420</v>
      </c>
      <c r="G73" s="19">
        <v>64.2</v>
      </c>
      <c r="H73" s="18">
        <v>1573912</v>
      </c>
      <c r="I73" s="30">
        <v>2870308</v>
      </c>
    </row>
    <row r="74" spans="1:9" s="47" customFormat="1" ht="45">
      <c r="A74" s="46"/>
      <c r="B74" s="46"/>
      <c r="C74" s="46"/>
      <c r="D74" s="9"/>
      <c r="E74" s="6" t="s">
        <v>809</v>
      </c>
      <c r="F74" s="18">
        <v>200000</v>
      </c>
      <c r="G74" s="19">
        <v>100</v>
      </c>
      <c r="H74" s="18"/>
      <c r="I74" s="30">
        <f>180000-150000</f>
        <v>30000</v>
      </c>
    </row>
    <row r="75" spans="1:9" s="47" customFormat="1" ht="60">
      <c r="A75" s="46"/>
      <c r="B75" s="46"/>
      <c r="C75" s="46"/>
      <c r="D75" s="9"/>
      <c r="E75" s="6" t="s">
        <v>810</v>
      </c>
      <c r="F75" s="18">
        <v>83986</v>
      </c>
      <c r="G75" s="19">
        <v>100</v>
      </c>
      <c r="H75" s="18"/>
      <c r="I75" s="30">
        <f>65000+90000</f>
        <v>155000</v>
      </c>
    </row>
    <row r="76" spans="1:9" s="47" customFormat="1" ht="60">
      <c r="A76" s="46"/>
      <c r="B76" s="46"/>
      <c r="C76" s="46"/>
      <c r="D76" s="9"/>
      <c r="E76" s="6" t="s">
        <v>59</v>
      </c>
      <c r="F76" s="18">
        <v>12000</v>
      </c>
      <c r="G76" s="19">
        <v>100</v>
      </c>
      <c r="H76" s="18"/>
      <c r="I76" s="30">
        <v>12000</v>
      </c>
    </row>
    <row r="77" spans="1:9" s="47" customFormat="1" ht="60">
      <c r="A77" s="46"/>
      <c r="B77" s="46"/>
      <c r="C77" s="46"/>
      <c r="D77" s="9"/>
      <c r="E77" s="6" t="s">
        <v>63</v>
      </c>
      <c r="F77" s="18">
        <v>12127</v>
      </c>
      <c r="G77" s="19">
        <v>100</v>
      </c>
      <c r="H77" s="18"/>
      <c r="I77" s="30">
        <v>12127</v>
      </c>
    </row>
    <row r="78" spans="1:9" s="47" customFormat="1" ht="30">
      <c r="A78" s="46"/>
      <c r="B78" s="46"/>
      <c r="C78" s="46"/>
      <c r="D78" s="9"/>
      <c r="E78" s="6" t="s">
        <v>60</v>
      </c>
      <c r="F78" s="18">
        <v>108422</v>
      </c>
      <c r="G78" s="19">
        <v>100</v>
      </c>
      <c r="H78" s="18"/>
      <c r="I78" s="30">
        <f>107191-107191</f>
        <v>0</v>
      </c>
    </row>
    <row r="79" spans="1:9" s="47" customFormat="1" ht="45">
      <c r="A79" s="46"/>
      <c r="B79" s="46"/>
      <c r="C79" s="46"/>
      <c r="D79" s="9"/>
      <c r="E79" s="6" t="s">
        <v>61</v>
      </c>
      <c r="F79" s="18">
        <v>800000</v>
      </c>
      <c r="G79" s="19">
        <v>100</v>
      </c>
      <c r="H79" s="18"/>
      <c r="I79" s="30">
        <v>800000</v>
      </c>
    </row>
    <row r="80" spans="1:9" s="47" customFormat="1" ht="60">
      <c r="A80" s="46"/>
      <c r="B80" s="46"/>
      <c r="C80" s="46"/>
      <c r="D80" s="9"/>
      <c r="E80" s="6" t="s">
        <v>62</v>
      </c>
      <c r="F80" s="18">
        <v>2600000</v>
      </c>
      <c r="G80" s="19">
        <v>100</v>
      </c>
      <c r="H80" s="18"/>
      <c r="I80" s="30">
        <v>2600000</v>
      </c>
    </row>
    <row r="81" spans="1:9" s="47" customFormat="1" ht="60">
      <c r="A81" s="46"/>
      <c r="B81" s="46"/>
      <c r="C81" s="46"/>
      <c r="D81" s="9"/>
      <c r="E81" s="6" t="s">
        <v>64</v>
      </c>
      <c r="F81" s="18">
        <v>167191</v>
      </c>
      <c r="G81" s="19">
        <v>100</v>
      </c>
      <c r="H81" s="18"/>
      <c r="I81" s="30">
        <v>167191</v>
      </c>
    </row>
    <row r="82" spans="1:9" s="53" customFormat="1" ht="28.5">
      <c r="A82" s="10" t="s">
        <v>773</v>
      </c>
      <c r="B82" s="10"/>
      <c r="C82" s="10"/>
      <c r="D82" s="121" t="s">
        <v>613</v>
      </c>
      <c r="E82" s="11"/>
      <c r="F82" s="20"/>
      <c r="G82" s="21"/>
      <c r="H82" s="20"/>
      <c r="I82" s="29">
        <f>I83</f>
        <v>15295400</v>
      </c>
    </row>
    <row r="83" spans="1:9" s="53" customFormat="1" ht="28.5">
      <c r="A83" s="10" t="s">
        <v>774</v>
      </c>
      <c r="B83" s="10"/>
      <c r="C83" s="10"/>
      <c r="D83" s="121" t="s">
        <v>613</v>
      </c>
      <c r="E83" s="11"/>
      <c r="F83" s="20"/>
      <c r="G83" s="21"/>
      <c r="H83" s="20"/>
      <c r="I83" s="29">
        <f>I84+I88+I89</f>
        <v>15295400</v>
      </c>
    </row>
    <row r="84" spans="1:9" s="34" customFormat="1" ht="45">
      <c r="A84" s="50" t="s">
        <v>592</v>
      </c>
      <c r="B84" s="50" t="s">
        <v>308</v>
      </c>
      <c r="C84" s="50"/>
      <c r="D84" s="66" t="s">
        <v>309</v>
      </c>
      <c r="E84" s="6"/>
      <c r="F84" s="18"/>
      <c r="G84" s="19"/>
      <c r="H84" s="18"/>
      <c r="I84" s="30">
        <f>I85+I86+I87</f>
        <v>6722200</v>
      </c>
    </row>
    <row r="85" spans="1:9" s="47" customFormat="1" ht="45">
      <c r="A85" s="46" t="s">
        <v>307</v>
      </c>
      <c r="B85" s="46" t="s">
        <v>595</v>
      </c>
      <c r="C85" s="46" t="s">
        <v>473</v>
      </c>
      <c r="D85" s="122" t="s">
        <v>310</v>
      </c>
      <c r="E85" s="9" t="s">
        <v>764</v>
      </c>
      <c r="F85" s="22"/>
      <c r="G85" s="23"/>
      <c r="H85" s="22"/>
      <c r="I85" s="31">
        <v>2259940</v>
      </c>
    </row>
    <row r="86" spans="1:9" s="47" customFormat="1" ht="85.5" customHeight="1">
      <c r="A86" s="46" t="s">
        <v>593</v>
      </c>
      <c r="B86" s="46" t="s">
        <v>596</v>
      </c>
      <c r="C86" s="46" t="s">
        <v>477</v>
      </c>
      <c r="D86" s="122" t="s">
        <v>590</v>
      </c>
      <c r="E86" s="9" t="s">
        <v>764</v>
      </c>
      <c r="F86" s="22"/>
      <c r="G86" s="23"/>
      <c r="H86" s="22"/>
      <c r="I86" s="31">
        <v>2819810</v>
      </c>
    </row>
    <row r="87" spans="1:9" s="47" customFormat="1" ht="30">
      <c r="A87" s="46" t="s">
        <v>594</v>
      </c>
      <c r="B87" s="46" t="s">
        <v>597</v>
      </c>
      <c r="C87" s="46" t="s">
        <v>473</v>
      </c>
      <c r="D87" s="122" t="s">
        <v>591</v>
      </c>
      <c r="E87" s="9" t="s">
        <v>764</v>
      </c>
      <c r="F87" s="22"/>
      <c r="G87" s="23"/>
      <c r="H87" s="22"/>
      <c r="I87" s="31">
        <v>1642450</v>
      </c>
    </row>
    <row r="88" spans="1:9" s="34" customFormat="1" ht="30">
      <c r="A88" s="50" t="s">
        <v>598</v>
      </c>
      <c r="B88" s="50" t="s">
        <v>599</v>
      </c>
      <c r="C88" s="46" t="s">
        <v>633</v>
      </c>
      <c r="D88" s="6" t="s">
        <v>600</v>
      </c>
      <c r="E88" s="18"/>
      <c r="F88" s="19"/>
      <c r="G88" s="18"/>
      <c r="H88" s="30"/>
      <c r="I88" s="30">
        <v>178000</v>
      </c>
    </row>
    <row r="89" spans="1:9" s="34" customFormat="1" ht="15">
      <c r="A89" s="50" t="s">
        <v>604</v>
      </c>
      <c r="B89" s="50" t="s">
        <v>645</v>
      </c>
      <c r="C89" s="46"/>
      <c r="D89" s="6" t="s">
        <v>605</v>
      </c>
      <c r="E89" s="18"/>
      <c r="F89" s="19"/>
      <c r="G89" s="18"/>
      <c r="H89" s="30"/>
      <c r="I89" s="97">
        <f>I90</f>
        <v>8395200</v>
      </c>
    </row>
    <row r="90" spans="1:9" s="47" customFormat="1" ht="19.5" customHeight="1">
      <c r="A90" s="46" t="s">
        <v>606</v>
      </c>
      <c r="B90" s="46" t="s">
        <v>384</v>
      </c>
      <c r="C90" s="46" t="s">
        <v>609</v>
      </c>
      <c r="D90" s="9" t="s">
        <v>385</v>
      </c>
      <c r="E90" s="22"/>
      <c r="F90" s="23"/>
      <c r="G90" s="22"/>
      <c r="H90" s="30"/>
      <c r="I90" s="98">
        <f>I91+I92+I93+I94</f>
        <v>8395200</v>
      </c>
    </row>
    <row r="91" spans="1:9" s="47" customFormat="1" ht="60">
      <c r="A91" s="46"/>
      <c r="B91" s="46"/>
      <c r="C91" s="46"/>
      <c r="D91" s="122"/>
      <c r="E91" s="6" t="s">
        <v>1</v>
      </c>
      <c r="F91" s="22"/>
      <c r="G91" s="23"/>
      <c r="H91" s="22"/>
      <c r="I91" s="30">
        <v>250000</v>
      </c>
    </row>
    <row r="92" spans="1:9" s="47" customFormat="1" ht="60">
      <c r="A92" s="46"/>
      <c r="B92" s="46"/>
      <c r="C92" s="46"/>
      <c r="D92" s="122"/>
      <c r="E92" s="6" t="s">
        <v>2</v>
      </c>
      <c r="F92" s="22"/>
      <c r="G92" s="23"/>
      <c r="H92" s="22"/>
      <c r="I92" s="30">
        <v>5677000</v>
      </c>
    </row>
    <row r="93" spans="1:9" s="47" customFormat="1" ht="45">
      <c r="A93" s="46"/>
      <c r="B93" s="46"/>
      <c r="C93" s="46"/>
      <c r="D93" s="122"/>
      <c r="E93" s="6" t="s">
        <v>65</v>
      </c>
      <c r="F93" s="22"/>
      <c r="G93" s="23"/>
      <c r="H93" s="22"/>
      <c r="I93" s="30">
        <v>638200</v>
      </c>
    </row>
    <row r="94" spans="1:9" s="47" customFormat="1" ht="45">
      <c r="A94" s="46"/>
      <c r="B94" s="46"/>
      <c r="C94" s="46"/>
      <c r="D94" s="122"/>
      <c r="E94" s="6" t="s">
        <v>66</v>
      </c>
      <c r="F94" s="22"/>
      <c r="G94" s="23"/>
      <c r="H94" s="22"/>
      <c r="I94" s="30">
        <v>1830000</v>
      </c>
    </row>
    <row r="95" spans="1:9" s="53" customFormat="1" ht="28.5">
      <c r="A95" s="10" t="s">
        <v>492</v>
      </c>
      <c r="B95" s="10"/>
      <c r="C95" s="10"/>
      <c r="D95" s="121" t="s">
        <v>282</v>
      </c>
      <c r="E95" s="11"/>
      <c r="F95" s="20"/>
      <c r="G95" s="21"/>
      <c r="H95" s="20"/>
      <c r="I95" s="29">
        <f>I96</f>
        <v>26839000</v>
      </c>
    </row>
    <row r="96" spans="1:10" s="53" customFormat="1" ht="28.5">
      <c r="A96" s="10" t="s">
        <v>493</v>
      </c>
      <c r="B96" s="10"/>
      <c r="C96" s="10"/>
      <c r="D96" s="121" t="s">
        <v>282</v>
      </c>
      <c r="E96" s="11"/>
      <c r="F96" s="20"/>
      <c r="G96" s="21"/>
      <c r="H96" s="20"/>
      <c r="I96" s="29">
        <f>I97+I98+I101+I102+I105+I99+I103+I100</f>
        <v>26839000</v>
      </c>
      <c r="J96" s="116">
        <f>I96-I97-I98-I106</f>
        <v>23487400</v>
      </c>
    </row>
    <row r="97" spans="1:9" s="34" customFormat="1" ht="30">
      <c r="A97" s="50" t="s">
        <v>405</v>
      </c>
      <c r="B97" s="50" t="s">
        <v>799</v>
      </c>
      <c r="C97" s="50" t="s">
        <v>311</v>
      </c>
      <c r="D97" s="66" t="s">
        <v>67</v>
      </c>
      <c r="E97" s="6" t="s">
        <v>764</v>
      </c>
      <c r="F97" s="18"/>
      <c r="G97" s="19"/>
      <c r="H97" s="18"/>
      <c r="I97" s="30">
        <f>1700000+300000</f>
        <v>2000000</v>
      </c>
    </row>
    <row r="98" spans="1:9" s="34" customFormat="1" ht="45">
      <c r="A98" s="50" t="s">
        <v>407</v>
      </c>
      <c r="B98" s="50" t="s">
        <v>408</v>
      </c>
      <c r="C98" s="50" t="s">
        <v>409</v>
      </c>
      <c r="D98" s="66" t="s">
        <v>68</v>
      </c>
      <c r="E98" s="6" t="s">
        <v>764</v>
      </c>
      <c r="F98" s="18"/>
      <c r="G98" s="19"/>
      <c r="H98" s="18"/>
      <c r="I98" s="30">
        <f>1101100+100000</f>
        <v>1201100</v>
      </c>
    </row>
    <row r="99" spans="1:9" s="34" customFormat="1" ht="15">
      <c r="A99" s="50" t="s">
        <v>535</v>
      </c>
      <c r="B99" s="50" t="s">
        <v>246</v>
      </c>
      <c r="C99" s="50" t="s">
        <v>247</v>
      </c>
      <c r="D99" s="66" t="s">
        <v>659</v>
      </c>
      <c r="E99" s="6" t="s">
        <v>764</v>
      </c>
      <c r="F99" s="18"/>
      <c r="G99" s="19"/>
      <c r="H99" s="18"/>
      <c r="I99" s="30">
        <f>400000-70000+920000-80000+1376700</f>
        <v>2546700</v>
      </c>
    </row>
    <row r="100" spans="1:9" s="34" customFormat="1" ht="30">
      <c r="A100" s="50" t="s">
        <v>456</v>
      </c>
      <c r="B100" s="50" t="s">
        <v>457</v>
      </c>
      <c r="C100" s="50" t="s">
        <v>459</v>
      </c>
      <c r="D100" s="66" t="s">
        <v>458</v>
      </c>
      <c r="E100" s="6" t="s">
        <v>764</v>
      </c>
      <c r="F100" s="18"/>
      <c r="G100" s="19"/>
      <c r="H100" s="18"/>
      <c r="I100" s="30">
        <v>179000</v>
      </c>
    </row>
    <row r="101" spans="1:9" s="34" customFormat="1" ht="18.75" customHeight="1">
      <c r="A101" s="50" t="s">
        <v>732</v>
      </c>
      <c r="B101" s="50" t="s">
        <v>733</v>
      </c>
      <c r="C101" s="50" t="s">
        <v>704</v>
      </c>
      <c r="D101" s="66" t="s">
        <v>734</v>
      </c>
      <c r="E101" s="6" t="s">
        <v>764</v>
      </c>
      <c r="F101" s="18"/>
      <c r="G101" s="19"/>
      <c r="H101" s="18"/>
      <c r="I101" s="30">
        <v>4134300</v>
      </c>
    </row>
    <row r="102" spans="1:9" s="34" customFormat="1" ht="18.75" customHeight="1">
      <c r="A102" s="50" t="s">
        <v>702</v>
      </c>
      <c r="B102" s="50" t="s">
        <v>703</v>
      </c>
      <c r="C102" s="50" t="s">
        <v>704</v>
      </c>
      <c r="D102" s="66" t="s">
        <v>705</v>
      </c>
      <c r="E102" s="6" t="s">
        <v>764</v>
      </c>
      <c r="F102" s="18"/>
      <c r="G102" s="19"/>
      <c r="H102" s="18"/>
      <c r="I102" s="30">
        <v>7810400</v>
      </c>
    </row>
    <row r="103" spans="1:9" s="34" customFormat="1" ht="18.75" customHeight="1">
      <c r="A103" s="50" t="s">
        <v>536</v>
      </c>
      <c r="B103" s="50" t="s">
        <v>787</v>
      </c>
      <c r="C103" s="50"/>
      <c r="D103" s="66" t="s">
        <v>789</v>
      </c>
      <c r="E103" s="6"/>
      <c r="F103" s="18"/>
      <c r="G103" s="19"/>
      <c r="H103" s="18"/>
      <c r="I103" s="30">
        <f>I104</f>
        <v>117000</v>
      </c>
    </row>
    <row r="104" spans="1:9" s="47" customFormat="1" ht="30">
      <c r="A104" s="46" t="s">
        <v>537</v>
      </c>
      <c r="B104" s="46" t="s">
        <v>538</v>
      </c>
      <c r="C104" s="46" t="s">
        <v>788</v>
      </c>
      <c r="D104" s="122" t="s">
        <v>539</v>
      </c>
      <c r="E104" s="6" t="s">
        <v>764</v>
      </c>
      <c r="F104" s="22"/>
      <c r="G104" s="23"/>
      <c r="H104" s="22"/>
      <c r="I104" s="31">
        <f>1000000-345000-538000</f>
        <v>117000</v>
      </c>
    </row>
    <row r="105" spans="1:11" s="34" customFormat="1" ht="18.75" customHeight="1">
      <c r="A105" s="50" t="s">
        <v>735</v>
      </c>
      <c r="B105" s="50" t="s">
        <v>645</v>
      </c>
      <c r="C105" s="50"/>
      <c r="D105" s="66" t="s">
        <v>424</v>
      </c>
      <c r="E105" s="6"/>
      <c r="F105" s="18"/>
      <c r="G105" s="19"/>
      <c r="H105" s="18"/>
      <c r="I105" s="30">
        <f>I108+I106</f>
        <v>8850500</v>
      </c>
      <c r="K105" s="117"/>
    </row>
    <row r="106" spans="1:9" s="47" customFormat="1" ht="18.75" customHeight="1">
      <c r="A106" s="46" t="s">
        <v>290</v>
      </c>
      <c r="B106" s="46" t="s">
        <v>346</v>
      </c>
      <c r="C106" s="46" t="s">
        <v>609</v>
      </c>
      <c r="D106" s="122" t="s">
        <v>350</v>
      </c>
      <c r="E106" s="9"/>
      <c r="F106" s="22"/>
      <c r="G106" s="23"/>
      <c r="H106" s="22"/>
      <c r="I106" s="31">
        <f>I107</f>
        <v>150500</v>
      </c>
    </row>
    <row r="107" spans="1:9" s="34" customFormat="1" ht="30">
      <c r="A107" s="50"/>
      <c r="B107" s="50"/>
      <c r="C107" s="50"/>
      <c r="D107" s="66"/>
      <c r="E107" s="6" t="s">
        <v>69</v>
      </c>
      <c r="F107" s="18"/>
      <c r="G107" s="19"/>
      <c r="H107" s="18"/>
      <c r="I107" s="30">
        <v>150500</v>
      </c>
    </row>
    <row r="108" spans="1:9" s="47" customFormat="1" ht="19.5" customHeight="1">
      <c r="A108" s="46" t="s">
        <v>736</v>
      </c>
      <c r="B108" s="46" t="s">
        <v>387</v>
      </c>
      <c r="C108" s="46" t="s">
        <v>609</v>
      </c>
      <c r="D108" s="122" t="s">
        <v>388</v>
      </c>
      <c r="E108" s="9"/>
      <c r="F108" s="22"/>
      <c r="G108" s="23"/>
      <c r="H108" s="22"/>
      <c r="I108" s="31">
        <f>I109+I110+I111+I112+I114+I115+I113+I116</f>
        <v>8700000</v>
      </c>
    </row>
    <row r="109" spans="1:9" s="47" customFormat="1" ht="45">
      <c r="A109" s="46"/>
      <c r="B109" s="46"/>
      <c r="C109" s="46"/>
      <c r="D109" s="122"/>
      <c r="E109" s="6" t="s">
        <v>70</v>
      </c>
      <c r="F109" s="22"/>
      <c r="G109" s="23"/>
      <c r="H109" s="22"/>
      <c r="I109" s="30">
        <v>1800000</v>
      </c>
    </row>
    <row r="110" spans="1:9" s="47" customFormat="1" ht="51.75" customHeight="1">
      <c r="A110" s="46"/>
      <c r="B110" s="46"/>
      <c r="C110" s="46"/>
      <c r="D110" s="122"/>
      <c r="E110" s="6" t="s">
        <v>71</v>
      </c>
      <c r="F110" s="22"/>
      <c r="G110" s="23"/>
      <c r="H110" s="22"/>
      <c r="I110" s="30">
        <v>1250000</v>
      </c>
    </row>
    <row r="111" spans="1:9" s="47" customFormat="1" ht="60">
      <c r="A111" s="46"/>
      <c r="B111" s="46"/>
      <c r="C111" s="46"/>
      <c r="D111" s="122"/>
      <c r="E111" s="6" t="s">
        <v>72</v>
      </c>
      <c r="F111" s="22"/>
      <c r="G111" s="23"/>
      <c r="H111" s="22"/>
      <c r="I111" s="30">
        <v>200000</v>
      </c>
    </row>
    <row r="112" spans="1:9" s="47" customFormat="1" ht="45">
      <c r="A112" s="46"/>
      <c r="B112" s="46"/>
      <c r="C112" s="46"/>
      <c r="D112" s="122"/>
      <c r="E112" s="6" t="s">
        <v>3</v>
      </c>
      <c r="F112" s="22"/>
      <c r="G112" s="23"/>
      <c r="H112" s="22"/>
      <c r="I112" s="30">
        <v>490000</v>
      </c>
    </row>
    <row r="113" spans="1:9" s="47" customFormat="1" ht="45">
      <c r="A113" s="46"/>
      <c r="B113" s="46"/>
      <c r="C113" s="46"/>
      <c r="D113" s="122"/>
      <c r="E113" s="6" t="s">
        <v>4</v>
      </c>
      <c r="F113" s="22"/>
      <c r="G113" s="23"/>
      <c r="H113" s="22"/>
      <c r="I113" s="30">
        <f>4510000-179000</f>
        <v>4331000</v>
      </c>
    </row>
    <row r="114" spans="1:9" s="47" customFormat="1" ht="90">
      <c r="A114" s="46"/>
      <c r="B114" s="46"/>
      <c r="C114" s="46"/>
      <c r="D114" s="122"/>
      <c r="E114" s="6" t="s">
        <v>73</v>
      </c>
      <c r="F114" s="22"/>
      <c r="G114" s="23"/>
      <c r="H114" s="22"/>
      <c r="I114" s="30">
        <v>38000</v>
      </c>
    </row>
    <row r="115" spans="1:9" s="47" customFormat="1" ht="105">
      <c r="A115" s="46"/>
      <c r="B115" s="46"/>
      <c r="C115" s="46"/>
      <c r="D115" s="122"/>
      <c r="E115" s="6" t="s">
        <v>198</v>
      </c>
      <c r="F115" s="22"/>
      <c r="G115" s="23"/>
      <c r="H115" s="22"/>
      <c r="I115" s="30">
        <v>120000</v>
      </c>
    </row>
    <row r="116" spans="1:9" s="47" customFormat="1" ht="45">
      <c r="A116" s="46"/>
      <c r="B116" s="46"/>
      <c r="C116" s="46"/>
      <c r="D116" s="122"/>
      <c r="E116" s="6" t="s">
        <v>665</v>
      </c>
      <c r="F116" s="22"/>
      <c r="G116" s="23"/>
      <c r="H116" s="22"/>
      <c r="I116" s="30">
        <v>471000</v>
      </c>
    </row>
    <row r="117" spans="1:9" s="53" customFormat="1" ht="28.5">
      <c r="A117" s="10" t="s">
        <v>782</v>
      </c>
      <c r="B117" s="10"/>
      <c r="C117" s="10"/>
      <c r="D117" s="121" t="s">
        <v>490</v>
      </c>
      <c r="E117" s="11"/>
      <c r="F117" s="20"/>
      <c r="G117" s="21"/>
      <c r="H117" s="20"/>
      <c r="I117" s="29">
        <f>I118</f>
        <v>4875300</v>
      </c>
    </row>
    <row r="118" spans="1:9" s="53" customFormat="1" ht="28.5">
      <c r="A118" s="10" t="s">
        <v>783</v>
      </c>
      <c r="B118" s="10"/>
      <c r="C118" s="10"/>
      <c r="D118" s="121" t="s">
        <v>490</v>
      </c>
      <c r="E118" s="11"/>
      <c r="F118" s="20"/>
      <c r="G118" s="21"/>
      <c r="H118" s="20"/>
      <c r="I118" s="29">
        <f>I119</f>
        <v>4875300</v>
      </c>
    </row>
    <row r="119" spans="1:9" s="34" customFormat="1" ht="18.75" customHeight="1">
      <c r="A119" s="50" t="s">
        <v>784</v>
      </c>
      <c r="B119" s="50" t="s">
        <v>635</v>
      </c>
      <c r="C119" s="50"/>
      <c r="D119" s="66" t="s">
        <v>611</v>
      </c>
      <c r="E119" s="6"/>
      <c r="F119" s="18"/>
      <c r="G119" s="19"/>
      <c r="H119" s="18"/>
      <c r="I119" s="30">
        <f>I121+I120</f>
        <v>4875300</v>
      </c>
    </row>
    <row r="120" spans="1:9" s="47" customFormat="1" ht="30">
      <c r="A120" s="46" t="s">
        <v>737</v>
      </c>
      <c r="B120" s="46" t="s">
        <v>331</v>
      </c>
      <c r="C120" s="46" t="s">
        <v>761</v>
      </c>
      <c r="D120" s="122" t="s">
        <v>332</v>
      </c>
      <c r="E120" s="9" t="s">
        <v>764</v>
      </c>
      <c r="F120" s="22"/>
      <c r="G120" s="23"/>
      <c r="H120" s="22"/>
      <c r="I120" s="31">
        <v>96000</v>
      </c>
    </row>
    <row r="121" spans="1:9" s="47" customFormat="1" ht="30">
      <c r="A121" s="46" t="s">
        <v>785</v>
      </c>
      <c r="B121" s="46" t="s">
        <v>610</v>
      </c>
      <c r="C121" s="46" t="s">
        <v>761</v>
      </c>
      <c r="D121" s="122" t="s">
        <v>786</v>
      </c>
      <c r="E121" s="9" t="s">
        <v>764</v>
      </c>
      <c r="F121" s="22"/>
      <c r="G121" s="23"/>
      <c r="H121" s="22"/>
      <c r="I121" s="31">
        <f>3446500+700000+27000+605800</f>
        <v>4779300</v>
      </c>
    </row>
    <row r="122" spans="1:9" s="53" customFormat="1" ht="50.25" customHeight="1">
      <c r="A122" s="10" t="s">
        <v>618</v>
      </c>
      <c r="B122" s="37"/>
      <c r="C122" s="10"/>
      <c r="D122" s="10" t="s">
        <v>614</v>
      </c>
      <c r="E122" s="11"/>
      <c r="F122" s="20"/>
      <c r="G122" s="118"/>
      <c r="H122" s="20"/>
      <c r="I122" s="29">
        <f>I123</f>
        <v>1224896416</v>
      </c>
    </row>
    <row r="123" spans="1:9" s="36" customFormat="1" ht="45.75" customHeight="1">
      <c r="A123" s="10" t="s">
        <v>619</v>
      </c>
      <c r="B123" s="32"/>
      <c r="C123" s="32"/>
      <c r="D123" s="10" t="s">
        <v>614</v>
      </c>
      <c r="E123" s="33"/>
      <c r="F123" s="20"/>
      <c r="G123" s="118"/>
      <c r="H123" s="20"/>
      <c r="I123" s="29">
        <f>I129+I159+I220+I282+I303+I124+I157</f>
        <v>1224896416</v>
      </c>
    </row>
    <row r="124" spans="1:9" s="34" customFormat="1" ht="30">
      <c r="A124" s="50" t="s">
        <v>582</v>
      </c>
      <c r="B124" s="50" t="s">
        <v>340</v>
      </c>
      <c r="C124" s="50"/>
      <c r="D124" s="66" t="s">
        <v>341</v>
      </c>
      <c r="E124" s="6"/>
      <c r="F124" s="18"/>
      <c r="G124" s="41"/>
      <c r="H124" s="18"/>
      <c r="I124" s="30">
        <f>I125+I127</f>
        <v>281995</v>
      </c>
    </row>
    <row r="125" spans="1:9" s="47" customFormat="1" ht="30">
      <c r="A125" s="46" t="s">
        <v>583</v>
      </c>
      <c r="B125" s="46" t="s">
        <v>342</v>
      </c>
      <c r="C125" s="46" t="s">
        <v>518</v>
      </c>
      <c r="D125" s="122" t="s">
        <v>343</v>
      </c>
      <c r="E125" s="9"/>
      <c r="F125" s="22"/>
      <c r="G125" s="40"/>
      <c r="H125" s="22"/>
      <c r="I125" s="31">
        <v>88158</v>
      </c>
    </row>
    <row r="126" spans="1:9" s="47" customFormat="1" ht="15">
      <c r="A126" s="46"/>
      <c r="B126" s="46"/>
      <c r="C126" s="46"/>
      <c r="D126" s="62" t="s">
        <v>681</v>
      </c>
      <c r="E126" s="9"/>
      <c r="F126" s="22"/>
      <c r="G126" s="40"/>
      <c r="H126" s="22"/>
      <c r="I126" s="31">
        <v>88158</v>
      </c>
    </row>
    <row r="127" spans="1:9" s="47" customFormat="1" ht="30" customHeight="1">
      <c r="A127" s="46" t="s">
        <v>584</v>
      </c>
      <c r="B127" s="46" t="s">
        <v>585</v>
      </c>
      <c r="C127" s="46" t="s">
        <v>518</v>
      </c>
      <c r="D127" s="122" t="s">
        <v>528</v>
      </c>
      <c r="E127" s="9"/>
      <c r="F127" s="22"/>
      <c r="G127" s="40"/>
      <c r="H127" s="22"/>
      <c r="I127" s="31">
        <f>185731+8106</f>
        <v>193837</v>
      </c>
    </row>
    <row r="128" spans="1:9" s="47" customFormat="1" ht="15">
      <c r="A128" s="46"/>
      <c r="B128" s="46"/>
      <c r="C128" s="46"/>
      <c r="D128" s="62" t="s">
        <v>681</v>
      </c>
      <c r="E128" s="9"/>
      <c r="F128" s="22"/>
      <c r="G128" s="40"/>
      <c r="H128" s="22"/>
      <c r="I128" s="31">
        <v>185731</v>
      </c>
    </row>
    <row r="129" spans="1:9" s="34" customFormat="1" ht="21.75" customHeight="1">
      <c r="A129" s="50" t="s">
        <v>259</v>
      </c>
      <c r="B129" s="50" t="s">
        <v>260</v>
      </c>
      <c r="C129" s="50" t="s">
        <v>518</v>
      </c>
      <c r="D129" s="66" t="s">
        <v>519</v>
      </c>
      <c r="E129" s="6"/>
      <c r="F129" s="18"/>
      <c r="G129" s="41"/>
      <c r="H129" s="18"/>
      <c r="I129" s="30">
        <f>I132+I134+I136+I139+I141+I145+I147+I152+I156+I130+I137+I142+I149+I154</f>
        <v>92123035</v>
      </c>
    </row>
    <row r="130" spans="1:9" s="34" customFormat="1" ht="21.75" customHeight="1">
      <c r="A130" s="50"/>
      <c r="B130" s="50"/>
      <c r="C130" s="50"/>
      <c r="D130" s="66"/>
      <c r="E130" s="6" t="s">
        <v>764</v>
      </c>
      <c r="F130" s="18"/>
      <c r="G130" s="41"/>
      <c r="H130" s="18"/>
      <c r="I130" s="30">
        <f>100000+19390000</f>
        <v>19490000</v>
      </c>
    </row>
    <row r="131" spans="1:9" s="34" customFormat="1" ht="15.75" customHeight="1">
      <c r="A131" s="50"/>
      <c r="B131" s="50"/>
      <c r="C131" s="50"/>
      <c r="D131" s="66"/>
      <c r="E131" s="59" t="s">
        <v>520</v>
      </c>
      <c r="F131" s="18"/>
      <c r="G131" s="41"/>
      <c r="H131" s="18"/>
      <c r="I131" s="30"/>
    </row>
    <row r="132" spans="1:9" s="34" customFormat="1" ht="36" customHeight="1">
      <c r="A132" s="50"/>
      <c r="B132" s="50"/>
      <c r="C132" s="50"/>
      <c r="D132" s="66"/>
      <c r="E132" s="6" t="s">
        <v>669</v>
      </c>
      <c r="F132" s="18">
        <v>50366872</v>
      </c>
      <c r="G132" s="124">
        <v>70.85589710633609</v>
      </c>
      <c r="H132" s="125">
        <v>35687899</v>
      </c>
      <c r="I132" s="30">
        <v>7500000</v>
      </c>
    </row>
    <row r="133" spans="1:9" s="34" customFormat="1" ht="21.75" customHeight="1">
      <c r="A133" s="50"/>
      <c r="B133" s="50"/>
      <c r="C133" s="50"/>
      <c r="D133" s="66"/>
      <c r="E133" s="59" t="s">
        <v>521</v>
      </c>
      <c r="F133" s="18"/>
      <c r="G133" s="41"/>
      <c r="H133" s="18"/>
      <c r="I133" s="30"/>
    </row>
    <row r="134" spans="1:9" s="34" customFormat="1" ht="45" customHeight="1">
      <c r="A134" s="50"/>
      <c r="B134" s="50"/>
      <c r="C134" s="50"/>
      <c r="D134" s="66"/>
      <c r="E134" s="6" t="s">
        <v>286</v>
      </c>
      <c r="F134" s="18">
        <v>21888000</v>
      </c>
      <c r="G134" s="124">
        <v>0</v>
      </c>
      <c r="H134" s="125">
        <v>0</v>
      </c>
      <c r="I134" s="30">
        <v>21888000</v>
      </c>
    </row>
    <row r="135" spans="1:9" s="34" customFormat="1" ht="15">
      <c r="A135" s="50"/>
      <c r="B135" s="50"/>
      <c r="C135" s="50"/>
      <c r="D135" s="66"/>
      <c r="E135" s="59" t="s">
        <v>523</v>
      </c>
      <c r="F135" s="18"/>
      <c r="G135" s="41"/>
      <c r="H135" s="18"/>
      <c r="I135" s="30"/>
    </row>
    <row r="136" spans="1:9" s="34" customFormat="1" ht="37.5" customHeight="1">
      <c r="A136" s="50"/>
      <c r="B136" s="50"/>
      <c r="C136" s="50"/>
      <c r="D136" s="66"/>
      <c r="E136" s="6" t="s">
        <v>726</v>
      </c>
      <c r="F136" s="18">
        <v>20000000</v>
      </c>
      <c r="G136" s="124">
        <v>96.95</v>
      </c>
      <c r="H136" s="125">
        <v>19390000</v>
      </c>
      <c r="I136" s="30">
        <f>20000000-19390000</f>
        <v>610000</v>
      </c>
    </row>
    <row r="137" spans="1:9" s="34" customFormat="1" ht="37.5" customHeight="1">
      <c r="A137" s="50"/>
      <c r="B137" s="50"/>
      <c r="C137" s="50"/>
      <c r="D137" s="66"/>
      <c r="E137" s="6" t="s">
        <v>74</v>
      </c>
      <c r="F137" s="18">
        <v>21631247</v>
      </c>
      <c r="G137" s="124">
        <v>2.3</v>
      </c>
      <c r="H137" s="125">
        <v>496937</v>
      </c>
      <c r="I137" s="30">
        <f>2714000+73000</f>
        <v>2787000</v>
      </c>
    </row>
    <row r="138" spans="1:9" s="34" customFormat="1" ht="15">
      <c r="A138" s="50"/>
      <c r="B138" s="50"/>
      <c r="C138" s="50"/>
      <c r="D138" s="66"/>
      <c r="E138" s="59" t="s">
        <v>524</v>
      </c>
      <c r="F138" s="18"/>
      <c r="G138" s="124"/>
      <c r="H138" s="125"/>
      <c r="I138" s="30"/>
    </row>
    <row r="139" spans="1:9" s="34" customFormat="1" ht="60">
      <c r="A139" s="50"/>
      <c r="B139" s="50"/>
      <c r="C139" s="50"/>
      <c r="D139" s="66"/>
      <c r="E139" s="6" t="s">
        <v>77</v>
      </c>
      <c r="F139" s="18">
        <v>1500000</v>
      </c>
      <c r="G139" s="124">
        <v>93.33333333333333</v>
      </c>
      <c r="H139" s="125">
        <v>1400000</v>
      </c>
      <c r="I139" s="30">
        <v>100000</v>
      </c>
    </row>
    <row r="140" spans="1:9" s="34" customFormat="1" ht="15">
      <c r="A140" s="50"/>
      <c r="B140" s="50"/>
      <c r="C140" s="50"/>
      <c r="D140" s="66"/>
      <c r="E140" s="59" t="s">
        <v>525</v>
      </c>
      <c r="F140" s="18"/>
      <c r="G140" s="124"/>
      <c r="H140" s="125"/>
      <c r="I140" s="30"/>
    </row>
    <row r="141" spans="1:9" s="34" customFormat="1" ht="37.5" customHeight="1">
      <c r="A141" s="50"/>
      <c r="B141" s="50"/>
      <c r="C141" s="50"/>
      <c r="D141" s="66"/>
      <c r="E141" s="6" t="s">
        <v>526</v>
      </c>
      <c r="F141" s="18">
        <v>46214259</v>
      </c>
      <c r="G141" s="124">
        <v>32.6</v>
      </c>
      <c r="H141" s="125">
        <v>15070809</v>
      </c>
      <c r="I141" s="30">
        <f>12980000+2364000+3370000</f>
        <v>18714000</v>
      </c>
    </row>
    <row r="142" spans="1:9" s="34" customFormat="1" ht="39.75" customHeight="1">
      <c r="A142" s="50"/>
      <c r="B142" s="50"/>
      <c r="C142" s="50"/>
      <c r="D142" s="66"/>
      <c r="E142" s="6" t="s">
        <v>75</v>
      </c>
      <c r="F142" s="18">
        <v>16917336</v>
      </c>
      <c r="G142" s="124"/>
      <c r="H142" s="125"/>
      <c r="I142" s="30">
        <v>99086</v>
      </c>
    </row>
    <row r="143" spans="1:9" s="47" customFormat="1" ht="18" customHeight="1">
      <c r="A143" s="46"/>
      <c r="B143" s="46"/>
      <c r="C143" s="46"/>
      <c r="D143" s="122"/>
      <c r="E143" s="9" t="s">
        <v>681</v>
      </c>
      <c r="F143" s="22"/>
      <c r="G143" s="126"/>
      <c r="H143" s="127"/>
      <c r="I143" s="31">
        <v>99086</v>
      </c>
    </row>
    <row r="144" spans="1:9" s="34" customFormat="1" ht="15">
      <c r="A144" s="50"/>
      <c r="B144" s="50"/>
      <c r="C144" s="50"/>
      <c r="D144" s="66"/>
      <c r="E144" s="59" t="s">
        <v>671</v>
      </c>
      <c r="F144" s="18"/>
      <c r="G144" s="124"/>
      <c r="H144" s="125"/>
      <c r="I144" s="30"/>
    </row>
    <row r="145" spans="1:9" s="34" customFormat="1" ht="37.5" customHeight="1">
      <c r="A145" s="50"/>
      <c r="B145" s="50"/>
      <c r="C145" s="50"/>
      <c r="D145" s="66"/>
      <c r="E145" s="6" t="s">
        <v>76</v>
      </c>
      <c r="F145" s="18">
        <v>6704929</v>
      </c>
      <c r="G145" s="124"/>
      <c r="H145" s="125"/>
      <c r="I145" s="30">
        <v>6623118</v>
      </c>
    </row>
    <row r="146" spans="1:9" s="34" customFormat="1" ht="15">
      <c r="A146" s="50"/>
      <c r="B146" s="50"/>
      <c r="C146" s="50"/>
      <c r="D146" s="66"/>
      <c r="E146" s="59" t="s">
        <v>527</v>
      </c>
      <c r="F146" s="18"/>
      <c r="G146" s="124"/>
      <c r="H146" s="125"/>
      <c r="I146" s="30"/>
    </row>
    <row r="147" spans="1:9" s="34" customFormat="1" ht="32.25" customHeight="1">
      <c r="A147" s="50"/>
      <c r="B147" s="50"/>
      <c r="C147" s="50"/>
      <c r="D147" s="66"/>
      <c r="E147" s="6" t="s">
        <v>199</v>
      </c>
      <c r="F147" s="18">
        <v>2175779</v>
      </c>
      <c r="G147" s="124">
        <v>23.7</v>
      </c>
      <c r="H147" s="125">
        <v>515779</v>
      </c>
      <c r="I147" s="30">
        <v>1660000</v>
      </c>
    </row>
    <row r="148" spans="1:9" s="34" customFormat="1" ht="15">
      <c r="A148" s="50"/>
      <c r="B148" s="50"/>
      <c r="C148" s="50"/>
      <c r="D148" s="66"/>
      <c r="E148" s="59" t="s">
        <v>410</v>
      </c>
      <c r="F148" s="18"/>
      <c r="G148" s="124"/>
      <c r="H148" s="125"/>
      <c r="I148" s="30"/>
    </row>
    <row r="149" spans="1:9" s="34" customFormat="1" ht="60">
      <c r="A149" s="50"/>
      <c r="B149" s="50"/>
      <c r="C149" s="50"/>
      <c r="D149" s="66"/>
      <c r="E149" s="6" t="s">
        <v>78</v>
      </c>
      <c r="F149" s="18"/>
      <c r="G149" s="124"/>
      <c r="H149" s="125"/>
      <c r="I149" s="30">
        <v>22020</v>
      </c>
    </row>
    <row r="150" spans="1:9" s="47" customFormat="1" ht="23.25" customHeight="1">
      <c r="A150" s="46"/>
      <c r="B150" s="46"/>
      <c r="C150" s="46"/>
      <c r="D150" s="122"/>
      <c r="E150" s="9" t="s">
        <v>681</v>
      </c>
      <c r="F150" s="22"/>
      <c r="G150" s="126"/>
      <c r="H150" s="127"/>
      <c r="I150" s="31">
        <v>22020</v>
      </c>
    </row>
    <row r="151" spans="1:9" s="34" customFormat="1" ht="15">
      <c r="A151" s="50"/>
      <c r="B151" s="50"/>
      <c r="C151" s="50"/>
      <c r="D151" s="66"/>
      <c r="E151" s="59" t="s">
        <v>79</v>
      </c>
      <c r="F151" s="18"/>
      <c r="G151" s="124"/>
      <c r="H151" s="125"/>
      <c r="I151" s="30"/>
    </row>
    <row r="152" spans="1:9" s="34" customFormat="1" ht="37.5" customHeight="1">
      <c r="A152" s="50"/>
      <c r="B152" s="50"/>
      <c r="C152" s="50"/>
      <c r="D152" s="66"/>
      <c r="E152" s="6" t="s">
        <v>80</v>
      </c>
      <c r="F152" s="18">
        <v>25000000</v>
      </c>
      <c r="G152" s="124">
        <v>79.7</v>
      </c>
      <c r="H152" s="125">
        <v>19928270</v>
      </c>
      <c r="I152" s="30">
        <v>4632772</v>
      </c>
    </row>
    <row r="153" spans="1:9" s="34" customFormat="1" ht="15">
      <c r="A153" s="50"/>
      <c r="B153" s="50"/>
      <c r="C153" s="50"/>
      <c r="D153" s="66"/>
      <c r="E153" s="59" t="s">
        <v>465</v>
      </c>
      <c r="F153" s="18"/>
      <c r="G153" s="124"/>
      <c r="H153" s="125"/>
      <c r="I153" s="30"/>
    </row>
    <row r="154" spans="1:9" s="34" customFormat="1" ht="37.5" customHeight="1">
      <c r="A154" s="50"/>
      <c r="B154" s="50"/>
      <c r="C154" s="50"/>
      <c r="D154" s="66"/>
      <c r="E154" s="6" t="s">
        <v>291</v>
      </c>
      <c r="F154" s="18">
        <v>17271075</v>
      </c>
      <c r="G154" s="124">
        <v>99.42099724539439</v>
      </c>
      <c r="H154" s="125">
        <v>17171075</v>
      </c>
      <c r="I154" s="30">
        <v>100000</v>
      </c>
    </row>
    <row r="155" spans="1:9" s="34" customFormat="1" ht="15">
      <c r="A155" s="50"/>
      <c r="B155" s="50"/>
      <c r="C155" s="50"/>
      <c r="D155" s="66"/>
      <c r="E155" s="59" t="s">
        <v>460</v>
      </c>
      <c r="F155" s="18"/>
      <c r="G155" s="124"/>
      <c r="H155" s="125"/>
      <c r="I155" s="30"/>
    </row>
    <row r="156" spans="1:9" s="34" customFormat="1" ht="37.5" customHeight="1">
      <c r="A156" s="50"/>
      <c r="B156" s="50"/>
      <c r="C156" s="50"/>
      <c r="D156" s="66"/>
      <c r="E156" s="6" t="s">
        <v>710</v>
      </c>
      <c r="F156" s="18">
        <v>19834283</v>
      </c>
      <c r="G156" s="124">
        <v>60.2</v>
      </c>
      <c r="H156" s="125">
        <v>11937244</v>
      </c>
      <c r="I156" s="30">
        <f>1000000+6897039</f>
        <v>7897039</v>
      </c>
    </row>
    <row r="157" spans="1:9" s="34" customFormat="1" ht="15">
      <c r="A157" s="50" t="s">
        <v>711</v>
      </c>
      <c r="B157" s="50" t="s">
        <v>712</v>
      </c>
      <c r="C157" s="50" t="s">
        <v>518</v>
      </c>
      <c r="D157" s="66" t="s">
        <v>713</v>
      </c>
      <c r="E157" s="6" t="s">
        <v>714</v>
      </c>
      <c r="F157" s="18"/>
      <c r="G157" s="124"/>
      <c r="H157" s="125"/>
      <c r="I157" s="30">
        <v>23327</v>
      </c>
    </row>
    <row r="158" spans="1:9" s="47" customFormat="1" ht="15">
      <c r="A158" s="46"/>
      <c r="B158" s="46"/>
      <c r="C158" s="46"/>
      <c r="D158" s="122"/>
      <c r="E158" s="9" t="s">
        <v>681</v>
      </c>
      <c r="F158" s="22"/>
      <c r="G158" s="126"/>
      <c r="H158" s="127"/>
      <c r="I158" s="31">
        <v>23327</v>
      </c>
    </row>
    <row r="159" spans="1:9" s="34" customFormat="1" ht="15.75" customHeight="1">
      <c r="A159" s="50" t="s">
        <v>637</v>
      </c>
      <c r="B159" s="50" t="s">
        <v>636</v>
      </c>
      <c r="C159" s="50" t="s">
        <v>609</v>
      </c>
      <c r="D159" s="66" t="s">
        <v>434</v>
      </c>
      <c r="E159" s="6"/>
      <c r="F159" s="18"/>
      <c r="G159" s="41"/>
      <c r="H159" s="18"/>
      <c r="I159" s="30">
        <f>I174+I175+I205+I213+I160+I166+I169+I171+I172+I177+I178+I179+I180+I182+I184+I189+I192+I194+I197+I200+I202+I207+I215+I218+I210+I162+I186+I187+I164</f>
        <v>46285304</v>
      </c>
    </row>
    <row r="160" spans="1:9" s="34" customFormat="1" ht="32.25" customHeight="1">
      <c r="A160" s="50"/>
      <c r="B160" s="50"/>
      <c r="C160" s="50"/>
      <c r="D160" s="66"/>
      <c r="E160" s="6" t="s">
        <v>81</v>
      </c>
      <c r="F160" s="18">
        <v>40966915</v>
      </c>
      <c r="G160" s="41">
        <v>45.7</v>
      </c>
      <c r="H160" s="18">
        <v>18704223</v>
      </c>
      <c r="I160" s="30">
        <v>100000</v>
      </c>
    </row>
    <row r="161" spans="1:9" s="34" customFormat="1" ht="15">
      <c r="A161" s="50"/>
      <c r="B161" s="50"/>
      <c r="C161" s="50"/>
      <c r="D161" s="66"/>
      <c r="E161" s="59" t="s">
        <v>790</v>
      </c>
      <c r="F161" s="18"/>
      <c r="G161" s="41"/>
      <c r="H161" s="18"/>
      <c r="I161" s="30"/>
    </row>
    <row r="162" spans="1:9" s="34" customFormat="1" ht="33.75" customHeight="1">
      <c r="A162" s="50"/>
      <c r="B162" s="50"/>
      <c r="C162" s="50"/>
      <c r="D162" s="66"/>
      <c r="E162" s="6" t="s">
        <v>200</v>
      </c>
      <c r="F162" s="18">
        <v>300000</v>
      </c>
      <c r="G162" s="41"/>
      <c r="H162" s="18"/>
      <c r="I162" s="30">
        <v>300000</v>
      </c>
    </row>
    <row r="163" spans="1:9" s="34" customFormat="1" ht="15">
      <c r="A163" s="50"/>
      <c r="B163" s="50"/>
      <c r="C163" s="50"/>
      <c r="D163" s="66"/>
      <c r="E163" s="80" t="s">
        <v>461</v>
      </c>
      <c r="F163" s="18"/>
      <c r="G163" s="41"/>
      <c r="H163" s="18"/>
      <c r="I163" s="30"/>
    </row>
    <row r="164" spans="1:9" s="34" customFormat="1" ht="45">
      <c r="A164" s="50"/>
      <c r="B164" s="50"/>
      <c r="C164" s="50"/>
      <c r="D164" s="66"/>
      <c r="E164" s="6" t="s">
        <v>82</v>
      </c>
      <c r="F164" s="18">
        <v>13621596</v>
      </c>
      <c r="G164" s="41">
        <v>46.5</v>
      </c>
      <c r="H164" s="18">
        <v>6339305</v>
      </c>
      <c r="I164" s="30">
        <v>6897039</v>
      </c>
    </row>
    <row r="165" spans="1:9" s="34" customFormat="1" ht="15">
      <c r="A165" s="50"/>
      <c r="B165" s="50"/>
      <c r="C165" s="50"/>
      <c r="D165" s="66"/>
      <c r="E165" s="80" t="s">
        <v>510</v>
      </c>
      <c r="F165" s="18"/>
      <c r="G165" s="124"/>
      <c r="H165" s="125"/>
      <c r="I165" s="30"/>
    </row>
    <row r="166" spans="1:9" s="34" customFormat="1" ht="39" customHeight="1">
      <c r="A166" s="50"/>
      <c r="B166" s="50"/>
      <c r="C166" s="50"/>
      <c r="D166" s="66"/>
      <c r="E166" s="6" t="s">
        <v>83</v>
      </c>
      <c r="F166" s="18"/>
      <c r="G166" s="124"/>
      <c r="H166" s="125"/>
      <c r="I166" s="30">
        <v>489276</v>
      </c>
    </row>
    <row r="167" spans="1:9" s="47" customFormat="1" ht="15">
      <c r="A167" s="46"/>
      <c r="B167" s="46"/>
      <c r="C167" s="46"/>
      <c r="D167" s="122"/>
      <c r="E167" s="9" t="s">
        <v>681</v>
      </c>
      <c r="F167" s="22"/>
      <c r="G167" s="126"/>
      <c r="H167" s="127"/>
      <c r="I167" s="31">
        <v>489276</v>
      </c>
    </row>
    <row r="168" spans="1:9" s="47" customFormat="1" ht="15">
      <c r="A168" s="46"/>
      <c r="B168" s="46"/>
      <c r="C168" s="46"/>
      <c r="D168" s="122"/>
      <c r="E168" s="59" t="s">
        <v>533</v>
      </c>
      <c r="F168" s="22"/>
      <c r="G168" s="126"/>
      <c r="H168" s="127"/>
      <c r="I168" s="31"/>
    </row>
    <row r="169" spans="1:9" s="47" customFormat="1" ht="45">
      <c r="A169" s="46"/>
      <c r="B169" s="46"/>
      <c r="C169" s="46"/>
      <c r="D169" s="122"/>
      <c r="E169" s="6" t="s">
        <v>248</v>
      </c>
      <c r="F169" s="22"/>
      <c r="G169" s="126"/>
      <c r="H169" s="127"/>
      <c r="I169" s="30">
        <v>414948</v>
      </c>
    </row>
    <row r="170" spans="1:9" s="47" customFormat="1" ht="15">
      <c r="A170" s="46"/>
      <c r="B170" s="46"/>
      <c r="C170" s="46"/>
      <c r="D170" s="122"/>
      <c r="E170" s="9" t="s">
        <v>249</v>
      </c>
      <c r="F170" s="22"/>
      <c r="G170" s="126"/>
      <c r="H170" s="127"/>
      <c r="I170" s="31">
        <v>414948</v>
      </c>
    </row>
    <row r="171" spans="1:9" s="47" customFormat="1" ht="45">
      <c r="A171" s="46"/>
      <c r="B171" s="46"/>
      <c r="C171" s="46"/>
      <c r="D171" s="122"/>
      <c r="E171" s="6" t="s">
        <v>250</v>
      </c>
      <c r="F171" s="18">
        <v>100000</v>
      </c>
      <c r="G171" s="126"/>
      <c r="H171" s="127"/>
      <c r="I171" s="30">
        <v>100000</v>
      </c>
    </row>
    <row r="172" spans="1:9" s="47" customFormat="1" ht="30">
      <c r="A172" s="46"/>
      <c r="B172" s="46"/>
      <c r="C172" s="46"/>
      <c r="D172" s="122"/>
      <c r="E172" s="6" t="s">
        <v>84</v>
      </c>
      <c r="F172" s="18">
        <v>100000</v>
      </c>
      <c r="G172" s="126"/>
      <c r="H172" s="127"/>
      <c r="I172" s="30">
        <v>100000</v>
      </c>
    </row>
    <row r="173" spans="1:9" s="34" customFormat="1" ht="15">
      <c r="A173" s="50"/>
      <c r="B173" s="50"/>
      <c r="C173" s="50"/>
      <c r="D173" s="66"/>
      <c r="E173" s="59" t="s">
        <v>437</v>
      </c>
      <c r="F173" s="18"/>
      <c r="G173" s="124"/>
      <c r="H173" s="125"/>
      <c r="I173" s="30"/>
    </row>
    <row r="174" spans="1:9" s="34" customFormat="1" ht="30" customHeight="1">
      <c r="A174" s="50"/>
      <c r="B174" s="50"/>
      <c r="C174" s="50"/>
      <c r="D174" s="66"/>
      <c r="E174" s="6" t="s">
        <v>85</v>
      </c>
      <c r="F174" s="18">
        <v>30330785</v>
      </c>
      <c r="G174" s="124">
        <v>0</v>
      </c>
      <c r="H174" s="125">
        <v>0</v>
      </c>
      <c r="I174" s="30">
        <v>10000000</v>
      </c>
    </row>
    <row r="175" spans="1:9" s="34" customFormat="1" ht="30" customHeight="1">
      <c r="A175" s="50"/>
      <c r="B175" s="50"/>
      <c r="C175" s="50"/>
      <c r="D175" s="66"/>
      <c r="E175" s="6" t="s">
        <v>94</v>
      </c>
      <c r="F175" s="18">
        <v>5355882</v>
      </c>
      <c r="G175" s="124">
        <v>0</v>
      </c>
      <c r="H175" s="125">
        <v>0</v>
      </c>
      <c r="I175" s="30">
        <v>3363120</v>
      </c>
    </row>
    <row r="176" spans="1:9" s="34" customFormat="1" ht="15">
      <c r="A176" s="50"/>
      <c r="B176" s="50"/>
      <c r="C176" s="50"/>
      <c r="D176" s="66"/>
      <c r="E176" s="59" t="s">
        <v>462</v>
      </c>
      <c r="F176" s="18"/>
      <c r="G176" s="124"/>
      <c r="H176" s="125"/>
      <c r="I176" s="30"/>
    </row>
    <row r="177" spans="1:9" s="34" customFormat="1" ht="45">
      <c r="A177" s="50"/>
      <c r="B177" s="50"/>
      <c r="C177" s="50"/>
      <c r="D177" s="66"/>
      <c r="E177" s="6" t="s">
        <v>5</v>
      </c>
      <c r="F177" s="18">
        <v>13225022</v>
      </c>
      <c r="G177" s="124">
        <v>66</v>
      </c>
      <c r="H177" s="125">
        <v>8725022</v>
      </c>
      <c r="I177" s="30">
        <v>4500000</v>
      </c>
    </row>
    <row r="178" spans="1:9" s="34" customFormat="1" ht="45">
      <c r="A178" s="50"/>
      <c r="B178" s="50"/>
      <c r="C178" s="50"/>
      <c r="D178" s="66"/>
      <c r="E178" s="6" t="s">
        <v>6</v>
      </c>
      <c r="F178" s="18">
        <v>4141340</v>
      </c>
      <c r="G178" s="124"/>
      <c r="H178" s="125"/>
      <c r="I178" s="30">
        <f>2000000-81106</f>
        <v>1918894</v>
      </c>
    </row>
    <row r="179" spans="1:9" s="34" customFormat="1" ht="30">
      <c r="A179" s="50"/>
      <c r="B179" s="50"/>
      <c r="C179" s="50"/>
      <c r="D179" s="66"/>
      <c r="E179" s="6" t="s">
        <v>86</v>
      </c>
      <c r="F179" s="18">
        <v>2986766</v>
      </c>
      <c r="G179" s="124">
        <v>4.1</v>
      </c>
      <c r="H179" s="125">
        <v>121460</v>
      </c>
      <c r="I179" s="30">
        <v>1800000</v>
      </c>
    </row>
    <row r="180" spans="1:9" s="34" customFormat="1" ht="45">
      <c r="A180" s="50"/>
      <c r="B180" s="50"/>
      <c r="C180" s="50"/>
      <c r="D180" s="66"/>
      <c r="E180" s="6" t="s">
        <v>87</v>
      </c>
      <c r="F180" s="18"/>
      <c r="G180" s="124"/>
      <c r="H180" s="125"/>
      <c r="I180" s="30">
        <v>60787</v>
      </c>
    </row>
    <row r="181" spans="1:9" s="47" customFormat="1" ht="15">
      <c r="A181" s="46"/>
      <c r="B181" s="46"/>
      <c r="C181" s="46"/>
      <c r="D181" s="122"/>
      <c r="E181" s="9" t="s">
        <v>249</v>
      </c>
      <c r="F181" s="22"/>
      <c r="G181" s="126"/>
      <c r="H181" s="127"/>
      <c r="I181" s="31">
        <v>60787</v>
      </c>
    </row>
    <row r="182" spans="1:9" s="34" customFormat="1" ht="45">
      <c r="A182" s="50"/>
      <c r="B182" s="50"/>
      <c r="C182" s="50"/>
      <c r="D182" s="66"/>
      <c r="E182" s="6" t="s">
        <v>88</v>
      </c>
      <c r="F182" s="18"/>
      <c r="G182" s="124"/>
      <c r="H182" s="125"/>
      <c r="I182" s="30">
        <v>49731</v>
      </c>
    </row>
    <row r="183" spans="1:9" s="47" customFormat="1" ht="15">
      <c r="A183" s="46"/>
      <c r="B183" s="46"/>
      <c r="C183" s="46"/>
      <c r="D183" s="122"/>
      <c r="E183" s="9" t="s">
        <v>249</v>
      </c>
      <c r="F183" s="22"/>
      <c r="G183" s="126"/>
      <c r="H183" s="127"/>
      <c r="I183" s="31">
        <v>49731</v>
      </c>
    </row>
    <row r="184" spans="1:9" s="34" customFormat="1" ht="45">
      <c r="A184" s="50"/>
      <c r="B184" s="50"/>
      <c r="C184" s="50"/>
      <c r="D184" s="66"/>
      <c r="E184" s="6" t="s">
        <v>89</v>
      </c>
      <c r="F184" s="18"/>
      <c r="G184" s="124"/>
      <c r="H184" s="125"/>
      <c r="I184" s="30">
        <v>71077</v>
      </c>
    </row>
    <row r="185" spans="1:9" s="47" customFormat="1" ht="15">
      <c r="A185" s="46"/>
      <c r="B185" s="46"/>
      <c r="C185" s="46"/>
      <c r="D185" s="122"/>
      <c r="E185" s="9" t="s">
        <v>249</v>
      </c>
      <c r="F185" s="22"/>
      <c r="G185" s="126"/>
      <c r="H185" s="127"/>
      <c r="I185" s="31">
        <v>71077</v>
      </c>
    </row>
    <row r="186" spans="1:9" s="34" customFormat="1" ht="38.25" customHeight="1">
      <c r="A186" s="50"/>
      <c r="B186" s="50"/>
      <c r="C186" s="50"/>
      <c r="D186" s="66"/>
      <c r="E186" s="6" t="s">
        <v>90</v>
      </c>
      <c r="F186" s="18">
        <v>289745617</v>
      </c>
      <c r="G186" s="124">
        <v>99.96548696714194</v>
      </c>
      <c r="H186" s="125">
        <v>289645617</v>
      </c>
      <c r="I186" s="30">
        <v>100000</v>
      </c>
    </row>
    <row r="187" spans="1:9" s="34" customFormat="1" ht="45">
      <c r="A187" s="50"/>
      <c r="B187" s="50"/>
      <c r="C187" s="50"/>
      <c r="D187" s="66"/>
      <c r="E187" s="6" t="s">
        <v>91</v>
      </c>
      <c r="F187" s="18">
        <v>1499118</v>
      </c>
      <c r="G187" s="124">
        <v>54.30980082955445</v>
      </c>
      <c r="H187" s="125">
        <v>814168</v>
      </c>
      <c r="I187" s="30">
        <v>684950</v>
      </c>
    </row>
    <row r="188" spans="1:9" s="34" customFormat="1" ht="15">
      <c r="A188" s="50"/>
      <c r="B188" s="50"/>
      <c r="C188" s="50"/>
      <c r="D188" s="66"/>
      <c r="E188" s="59" t="s">
        <v>463</v>
      </c>
      <c r="F188" s="18"/>
      <c r="G188" s="124"/>
      <c r="H188" s="125"/>
      <c r="I188" s="30"/>
    </row>
    <row r="189" spans="1:9" s="34" customFormat="1" ht="32.25" customHeight="1">
      <c r="A189" s="50"/>
      <c r="B189" s="50"/>
      <c r="C189" s="50"/>
      <c r="D189" s="66"/>
      <c r="E189" s="6" t="s">
        <v>716</v>
      </c>
      <c r="F189" s="18">
        <v>1495297</v>
      </c>
      <c r="G189" s="124"/>
      <c r="H189" s="125"/>
      <c r="I189" s="30">
        <v>21234</v>
      </c>
    </row>
    <row r="190" spans="1:9" s="47" customFormat="1" ht="15">
      <c r="A190" s="46"/>
      <c r="B190" s="46"/>
      <c r="C190" s="46"/>
      <c r="D190" s="122"/>
      <c r="E190" s="9" t="s">
        <v>249</v>
      </c>
      <c r="F190" s="22"/>
      <c r="G190" s="126"/>
      <c r="H190" s="127"/>
      <c r="I190" s="31">
        <v>13128</v>
      </c>
    </row>
    <row r="191" spans="1:9" s="34" customFormat="1" ht="18" customHeight="1">
      <c r="A191" s="50"/>
      <c r="B191" s="50"/>
      <c r="C191" s="50"/>
      <c r="D191" s="66"/>
      <c r="E191" s="80" t="s">
        <v>697</v>
      </c>
      <c r="F191" s="18"/>
      <c r="G191" s="124"/>
      <c r="H191" s="125"/>
      <c r="I191" s="30"/>
    </row>
    <row r="192" spans="1:9" s="34" customFormat="1" ht="45" customHeight="1">
      <c r="A192" s="50"/>
      <c r="B192" s="50"/>
      <c r="C192" s="50"/>
      <c r="D192" s="66"/>
      <c r="E192" s="6" t="s">
        <v>92</v>
      </c>
      <c r="F192" s="18"/>
      <c r="G192" s="124"/>
      <c r="H192" s="125"/>
      <c r="I192" s="30">
        <v>170644</v>
      </c>
    </row>
    <row r="193" spans="1:9" s="47" customFormat="1" ht="15">
      <c r="A193" s="46"/>
      <c r="B193" s="46"/>
      <c r="C193" s="46"/>
      <c r="D193" s="122"/>
      <c r="E193" s="9" t="s">
        <v>249</v>
      </c>
      <c r="F193" s="22"/>
      <c r="G193" s="126"/>
      <c r="H193" s="127"/>
      <c r="I193" s="31">
        <v>170644</v>
      </c>
    </row>
    <row r="194" spans="1:9" s="34" customFormat="1" ht="45">
      <c r="A194" s="50"/>
      <c r="B194" s="50"/>
      <c r="C194" s="50"/>
      <c r="D194" s="66"/>
      <c r="E194" s="6" t="s">
        <v>482</v>
      </c>
      <c r="F194" s="18"/>
      <c r="G194" s="124"/>
      <c r="H194" s="125"/>
      <c r="I194" s="30">
        <v>437681</v>
      </c>
    </row>
    <row r="195" spans="1:9" s="47" customFormat="1" ht="15">
      <c r="A195" s="46"/>
      <c r="B195" s="46"/>
      <c r="C195" s="46"/>
      <c r="D195" s="122"/>
      <c r="E195" s="9" t="s">
        <v>249</v>
      </c>
      <c r="F195" s="22"/>
      <c r="G195" s="126"/>
      <c r="H195" s="127"/>
      <c r="I195" s="31">
        <v>437681</v>
      </c>
    </row>
    <row r="196" spans="1:9" s="34" customFormat="1" ht="15">
      <c r="A196" s="50"/>
      <c r="B196" s="50"/>
      <c r="C196" s="50"/>
      <c r="D196" s="66"/>
      <c r="E196" s="80" t="s">
        <v>698</v>
      </c>
      <c r="F196" s="18"/>
      <c r="G196" s="124"/>
      <c r="H196" s="125"/>
      <c r="I196" s="30"/>
    </row>
    <row r="197" spans="1:9" s="34" customFormat="1" ht="32.25" customHeight="1">
      <c r="A197" s="50"/>
      <c r="B197" s="50"/>
      <c r="C197" s="50"/>
      <c r="D197" s="66"/>
      <c r="E197" s="6" t="s">
        <v>93</v>
      </c>
      <c r="F197" s="18"/>
      <c r="G197" s="124"/>
      <c r="H197" s="125"/>
      <c r="I197" s="30">
        <v>165708</v>
      </c>
    </row>
    <row r="198" spans="1:9" s="47" customFormat="1" ht="15">
      <c r="A198" s="46"/>
      <c r="B198" s="46"/>
      <c r="C198" s="46"/>
      <c r="D198" s="122"/>
      <c r="E198" s="9" t="s">
        <v>249</v>
      </c>
      <c r="F198" s="22"/>
      <c r="G198" s="126"/>
      <c r="H198" s="127"/>
      <c r="I198" s="31">
        <v>165708</v>
      </c>
    </row>
    <row r="199" spans="1:9" s="34" customFormat="1" ht="15">
      <c r="A199" s="50"/>
      <c r="B199" s="50"/>
      <c r="C199" s="50"/>
      <c r="D199" s="66"/>
      <c r="E199" s="80" t="s">
        <v>483</v>
      </c>
      <c r="F199" s="18"/>
      <c r="G199" s="124"/>
      <c r="H199" s="125"/>
      <c r="I199" s="30"/>
    </row>
    <row r="200" spans="1:9" s="34" customFormat="1" ht="60">
      <c r="A200" s="50"/>
      <c r="B200" s="50"/>
      <c r="C200" s="50"/>
      <c r="D200" s="66"/>
      <c r="E200" s="6" t="s">
        <v>95</v>
      </c>
      <c r="F200" s="18">
        <v>916922</v>
      </c>
      <c r="G200" s="124"/>
      <c r="H200" s="125"/>
      <c r="I200" s="30">
        <f>20447+435000</f>
        <v>455447</v>
      </c>
    </row>
    <row r="201" spans="1:9" s="47" customFormat="1" ht="15">
      <c r="A201" s="46"/>
      <c r="B201" s="46"/>
      <c r="C201" s="46"/>
      <c r="D201" s="122"/>
      <c r="E201" s="9" t="s">
        <v>249</v>
      </c>
      <c r="F201" s="22"/>
      <c r="G201" s="126"/>
      <c r="H201" s="127"/>
      <c r="I201" s="31">
        <v>20447</v>
      </c>
    </row>
    <row r="202" spans="1:9" s="34" customFormat="1" ht="60">
      <c r="A202" s="50"/>
      <c r="B202" s="50"/>
      <c r="C202" s="50"/>
      <c r="D202" s="66"/>
      <c r="E202" s="6" t="s">
        <v>765</v>
      </c>
      <c r="F202" s="18"/>
      <c r="G202" s="124"/>
      <c r="H202" s="125"/>
      <c r="I202" s="30">
        <v>63635</v>
      </c>
    </row>
    <row r="203" spans="1:9" s="47" customFormat="1" ht="15">
      <c r="A203" s="46"/>
      <c r="B203" s="46"/>
      <c r="C203" s="46"/>
      <c r="D203" s="122"/>
      <c r="E203" s="9" t="s">
        <v>249</v>
      </c>
      <c r="F203" s="22"/>
      <c r="G203" s="126"/>
      <c r="H203" s="127"/>
      <c r="I203" s="31">
        <v>63635</v>
      </c>
    </row>
    <row r="204" spans="1:9" s="34" customFormat="1" ht="15">
      <c r="A204" s="50"/>
      <c r="B204" s="50"/>
      <c r="C204" s="50"/>
      <c r="D204" s="66"/>
      <c r="E204" s="80" t="s">
        <v>464</v>
      </c>
      <c r="F204" s="18"/>
      <c r="G204" s="124"/>
      <c r="H204" s="125"/>
      <c r="I204" s="30"/>
    </row>
    <row r="205" spans="1:9" s="34" customFormat="1" ht="37.5" customHeight="1">
      <c r="A205" s="50"/>
      <c r="B205" s="50"/>
      <c r="C205" s="50"/>
      <c r="D205" s="66"/>
      <c r="E205" s="6" t="s">
        <v>96</v>
      </c>
      <c r="F205" s="18">
        <v>12277706</v>
      </c>
      <c r="G205" s="124">
        <v>16.2</v>
      </c>
      <c r="H205" s="125">
        <v>1987120</v>
      </c>
      <c r="I205" s="30">
        <v>4636000</v>
      </c>
    </row>
    <row r="206" spans="1:9" s="34" customFormat="1" ht="15">
      <c r="A206" s="50"/>
      <c r="B206" s="50"/>
      <c r="C206" s="50"/>
      <c r="D206" s="66"/>
      <c r="E206" s="80" t="s">
        <v>766</v>
      </c>
      <c r="F206" s="18"/>
      <c r="G206" s="124"/>
      <c r="H206" s="125"/>
      <c r="I206" s="30"/>
    </row>
    <row r="207" spans="1:9" s="34" customFormat="1" ht="60">
      <c r="A207" s="50"/>
      <c r="B207" s="50"/>
      <c r="C207" s="50"/>
      <c r="D207" s="66"/>
      <c r="E207" s="6" t="s">
        <v>97</v>
      </c>
      <c r="F207" s="18"/>
      <c r="G207" s="124"/>
      <c r="H207" s="125"/>
      <c r="I207" s="30">
        <v>59194</v>
      </c>
    </row>
    <row r="208" spans="1:9" s="47" customFormat="1" ht="15">
      <c r="A208" s="46"/>
      <c r="B208" s="46"/>
      <c r="C208" s="46"/>
      <c r="D208" s="122"/>
      <c r="E208" s="9" t="s">
        <v>249</v>
      </c>
      <c r="F208" s="22"/>
      <c r="G208" s="126"/>
      <c r="H208" s="127"/>
      <c r="I208" s="31">
        <v>59194</v>
      </c>
    </row>
    <row r="209" spans="1:9" s="47" customFormat="1" ht="15">
      <c r="A209" s="46"/>
      <c r="B209" s="46"/>
      <c r="C209" s="46"/>
      <c r="D209" s="122"/>
      <c r="E209" s="80" t="s">
        <v>79</v>
      </c>
      <c r="F209" s="22"/>
      <c r="G209" s="126"/>
      <c r="H209" s="127"/>
      <c r="I209" s="31"/>
    </row>
    <row r="210" spans="1:9" s="47" customFormat="1" ht="30">
      <c r="A210" s="46"/>
      <c r="B210" s="46"/>
      <c r="C210" s="46"/>
      <c r="D210" s="122"/>
      <c r="E210" s="6" t="s">
        <v>98</v>
      </c>
      <c r="F210" s="22"/>
      <c r="G210" s="126"/>
      <c r="H210" s="127"/>
      <c r="I210" s="30">
        <v>502961</v>
      </c>
    </row>
    <row r="211" spans="1:9" s="47" customFormat="1" ht="15">
      <c r="A211" s="46"/>
      <c r="B211" s="46"/>
      <c r="C211" s="46"/>
      <c r="D211" s="122"/>
      <c r="E211" s="9" t="s">
        <v>484</v>
      </c>
      <c r="F211" s="22"/>
      <c r="G211" s="126"/>
      <c r="H211" s="127"/>
      <c r="I211" s="31">
        <v>502961</v>
      </c>
    </row>
    <row r="212" spans="1:9" s="34" customFormat="1" ht="15">
      <c r="A212" s="50"/>
      <c r="B212" s="50"/>
      <c r="C212" s="50"/>
      <c r="D212" s="66"/>
      <c r="E212" s="59" t="s">
        <v>465</v>
      </c>
      <c r="F212" s="18"/>
      <c r="G212" s="124"/>
      <c r="H212" s="125"/>
      <c r="I212" s="30"/>
    </row>
    <row r="213" spans="1:9" s="34" customFormat="1" ht="46.5" customHeight="1">
      <c r="A213" s="50"/>
      <c r="B213" s="50"/>
      <c r="C213" s="50"/>
      <c r="D213" s="66"/>
      <c r="E213" s="6" t="s">
        <v>287</v>
      </c>
      <c r="F213" s="18">
        <v>8572229</v>
      </c>
      <c r="G213" s="124">
        <v>0</v>
      </c>
      <c r="H213" s="125">
        <v>229</v>
      </c>
      <c r="I213" s="30">
        <v>8572000</v>
      </c>
    </row>
    <row r="214" spans="1:9" s="34" customFormat="1" ht="15">
      <c r="A214" s="50"/>
      <c r="B214" s="50"/>
      <c r="C214" s="50"/>
      <c r="D214" s="66"/>
      <c r="E214" s="59" t="s">
        <v>460</v>
      </c>
      <c r="F214" s="18"/>
      <c r="G214" s="124"/>
      <c r="H214" s="125"/>
      <c r="I214" s="30"/>
    </row>
    <row r="215" spans="1:9" s="34" customFormat="1" ht="37.5" customHeight="1">
      <c r="A215" s="50"/>
      <c r="B215" s="50"/>
      <c r="C215" s="50"/>
      <c r="D215" s="66"/>
      <c r="E215" s="6" t="s">
        <v>767</v>
      </c>
      <c r="F215" s="18"/>
      <c r="G215" s="124"/>
      <c r="H215" s="125"/>
      <c r="I215" s="30">
        <v>236787</v>
      </c>
    </row>
    <row r="216" spans="1:9" s="47" customFormat="1" ht="15">
      <c r="A216" s="46"/>
      <c r="B216" s="46"/>
      <c r="C216" s="46"/>
      <c r="D216" s="122"/>
      <c r="E216" s="9" t="s">
        <v>249</v>
      </c>
      <c r="F216" s="22"/>
      <c r="G216" s="126"/>
      <c r="H216" s="127"/>
      <c r="I216" s="31">
        <v>236787</v>
      </c>
    </row>
    <row r="217" spans="1:9" s="34" customFormat="1" ht="15">
      <c r="A217" s="50"/>
      <c r="B217" s="50"/>
      <c r="C217" s="50"/>
      <c r="D217" s="66"/>
      <c r="E217" s="80" t="s">
        <v>378</v>
      </c>
      <c r="F217" s="18"/>
      <c r="G217" s="124"/>
      <c r="H217" s="125"/>
      <c r="I217" s="30"/>
    </row>
    <row r="218" spans="1:9" s="34" customFormat="1" ht="48" customHeight="1">
      <c r="A218" s="50"/>
      <c r="B218" s="50"/>
      <c r="C218" s="50"/>
      <c r="D218" s="66"/>
      <c r="E218" s="6" t="s">
        <v>7</v>
      </c>
      <c r="F218" s="18"/>
      <c r="G218" s="124"/>
      <c r="H218" s="125"/>
      <c r="I218" s="30">
        <v>14191</v>
      </c>
    </row>
    <row r="219" spans="1:9" s="47" customFormat="1" ht="18.75" customHeight="1">
      <c r="A219" s="46"/>
      <c r="B219" s="46"/>
      <c r="C219" s="46"/>
      <c r="D219" s="122"/>
      <c r="E219" s="9" t="s">
        <v>249</v>
      </c>
      <c r="F219" s="22"/>
      <c r="G219" s="40"/>
      <c r="H219" s="22"/>
      <c r="I219" s="31">
        <v>14191</v>
      </c>
    </row>
    <row r="220" spans="1:9" s="34" customFormat="1" ht="18.75" customHeight="1">
      <c r="A220" s="50" t="s">
        <v>672</v>
      </c>
      <c r="B220" s="50" t="s">
        <v>638</v>
      </c>
      <c r="C220" s="50"/>
      <c r="D220" s="66" t="s">
        <v>673</v>
      </c>
      <c r="E220" s="6"/>
      <c r="F220" s="18"/>
      <c r="G220" s="41"/>
      <c r="H220" s="18"/>
      <c r="I220" s="30">
        <f>I221+I228+I272+I265</f>
        <v>190126750</v>
      </c>
    </row>
    <row r="221" spans="1:9" s="47" customFormat="1" ht="55.5" customHeight="1">
      <c r="A221" s="46" t="s">
        <v>674</v>
      </c>
      <c r="B221" s="46" t="s">
        <v>675</v>
      </c>
      <c r="C221" s="46" t="s">
        <v>285</v>
      </c>
      <c r="D221" s="122" t="s">
        <v>676</v>
      </c>
      <c r="E221" s="9"/>
      <c r="F221" s="22"/>
      <c r="G221" s="40"/>
      <c r="H221" s="22"/>
      <c r="I221" s="31">
        <f>I223+I225+I227</f>
        <v>18147612</v>
      </c>
    </row>
    <row r="222" spans="1:9" s="34" customFormat="1" ht="15">
      <c r="A222" s="50"/>
      <c r="B222" s="50"/>
      <c r="C222" s="50"/>
      <c r="D222" s="66"/>
      <c r="E222" s="59" t="s">
        <v>522</v>
      </c>
      <c r="F222" s="18"/>
      <c r="G222" s="124"/>
      <c r="H222" s="125"/>
      <c r="I222" s="30"/>
    </row>
    <row r="223" spans="1:9" s="34" customFormat="1" ht="30">
      <c r="A223" s="50"/>
      <c r="B223" s="50"/>
      <c r="C223" s="50"/>
      <c r="D223" s="66"/>
      <c r="E223" s="6" t="s">
        <v>233</v>
      </c>
      <c r="F223" s="18">
        <v>41635364</v>
      </c>
      <c r="G223" s="124">
        <v>0</v>
      </c>
      <c r="H223" s="125">
        <v>0</v>
      </c>
      <c r="I223" s="30">
        <v>10000000</v>
      </c>
    </row>
    <row r="224" spans="1:9" s="34" customFormat="1" ht="15">
      <c r="A224" s="50"/>
      <c r="B224" s="50"/>
      <c r="C224" s="50"/>
      <c r="D224" s="66"/>
      <c r="E224" s="59" t="s">
        <v>524</v>
      </c>
      <c r="F224" s="18"/>
      <c r="G224" s="124"/>
      <c r="H224" s="125"/>
      <c r="I224" s="30"/>
    </row>
    <row r="225" spans="1:9" s="34" customFormat="1" ht="30">
      <c r="A225" s="50"/>
      <c r="B225" s="50"/>
      <c r="C225" s="50"/>
      <c r="D225" s="66"/>
      <c r="E225" s="6" t="s">
        <v>234</v>
      </c>
      <c r="F225" s="18">
        <v>85125567</v>
      </c>
      <c r="G225" s="124">
        <v>1.7</v>
      </c>
      <c r="H225" s="125">
        <v>1434213</v>
      </c>
      <c r="I225" s="30">
        <v>4947606</v>
      </c>
    </row>
    <row r="226" spans="1:9" s="34" customFormat="1" ht="15">
      <c r="A226" s="50"/>
      <c r="B226" s="50"/>
      <c r="C226" s="50"/>
      <c r="D226" s="66"/>
      <c r="E226" s="80" t="s">
        <v>697</v>
      </c>
      <c r="F226" s="18"/>
      <c r="G226" s="124"/>
      <c r="H226" s="125"/>
      <c r="I226" s="30"/>
    </row>
    <row r="227" spans="1:9" s="34" customFormat="1" ht="45">
      <c r="A227" s="50"/>
      <c r="B227" s="50"/>
      <c r="C227" s="50"/>
      <c r="D227" s="66"/>
      <c r="E227" s="6" t="s">
        <v>99</v>
      </c>
      <c r="F227" s="18">
        <v>87258043</v>
      </c>
      <c r="G227" s="124">
        <v>96.3</v>
      </c>
      <c r="H227" s="125">
        <v>84058037</v>
      </c>
      <c r="I227" s="30">
        <v>3200006</v>
      </c>
    </row>
    <row r="228" spans="1:9" s="63" customFormat="1" ht="48" customHeight="1">
      <c r="A228" s="46" t="s">
        <v>677</v>
      </c>
      <c r="B228" s="46" t="s">
        <v>678</v>
      </c>
      <c r="C228" s="46" t="s">
        <v>285</v>
      </c>
      <c r="D228" s="122" t="s">
        <v>679</v>
      </c>
      <c r="E228" s="66"/>
      <c r="F228" s="109"/>
      <c r="G228" s="110"/>
      <c r="H228" s="111"/>
      <c r="I228" s="30">
        <f>I229+I233+I236+I239+I242+I244+I247+I253+I256+I261+I263+I250+I258</f>
        <v>149863600</v>
      </c>
    </row>
    <row r="229" spans="1:9" s="63" customFormat="1" ht="20.25" customHeight="1">
      <c r="A229" s="46"/>
      <c r="B229" s="46"/>
      <c r="C229" s="46"/>
      <c r="D229" s="122"/>
      <c r="E229" s="66" t="s">
        <v>764</v>
      </c>
      <c r="F229" s="109"/>
      <c r="G229" s="110"/>
      <c r="H229" s="111"/>
      <c r="I229" s="30">
        <f>66790189+29713074</f>
        <v>96503263</v>
      </c>
    </row>
    <row r="230" spans="1:9" s="63" customFormat="1" ht="15">
      <c r="A230" s="46"/>
      <c r="B230" s="46"/>
      <c r="C230" s="46"/>
      <c r="D230" s="122"/>
      <c r="E230" s="9" t="s">
        <v>680</v>
      </c>
      <c r="F230" s="109"/>
      <c r="G230" s="110"/>
      <c r="H230" s="111"/>
      <c r="I230" s="31">
        <v>24323226</v>
      </c>
    </row>
    <row r="231" spans="1:9" s="63" customFormat="1" ht="15">
      <c r="A231" s="46"/>
      <c r="B231" s="46"/>
      <c r="C231" s="46"/>
      <c r="D231" s="122"/>
      <c r="E231" s="9" t="s">
        <v>681</v>
      </c>
      <c r="F231" s="109"/>
      <c r="G231" s="110"/>
      <c r="H231" s="111"/>
      <c r="I231" s="31">
        <v>2958153</v>
      </c>
    </row>
    <row r="232" spans="1:9" s="89" customFormat="1" ht="15">
      <c r="A232" s="46"/>
      <c r="B232" s="46"/>
      <c r="C232" s="46"/>
      <c r="D232" s="122"/>
      <c r="E232" s="59" t="s">
        <v>461</v>
      </c>
      <c r="F232" s="18"/>
      <c r="G232" s="67"/>
      <c r="H232" s="68"/>
      <c r="I232" s="30"/>
    </row>
    <row r="233" spans="1:9" s="89" customFormat="1" ht="45">
      <c r="A233" s="46"/>
      <c r="B233" s="46"/>
      <c r="C233" s="46"/>
      <c r="D233" s="122"/>
      <c r="E233" s="6" t="s">
        <v>768</v>
      </c>
      <c r="F233" s="18">
        <v>12124166</v>
      </c>
      <c r="G233" s="81">
        <v>12.4</v>
      </c>
      <c r="H233" s="82">
        <v>1500336</v>
      </c>
      <c r="I233" s="30">
        <f>646753+48247</f>
        <v>695000</v>
      </c>
    </row>
    <row r="234" spans="1:9" s="38" customFormat="1" ht="15">
      <c r="A234" s="46"/>
      <c r="B234" s="46"/>
      <c r="C234" s="46"/>
      <c r="D234" s="122"/>
      <c r="E234" s="9" t="s">
        <v>680</v>
      </c>
      <c r="F234" s="22"/>
      <c r="G234" s="64"/>
      <c r="H234" s="65"/>
      <c r="I234" s="31">
        <f>646753+48247</f>
        <v>695000</v>
      </c>
    </row>
    <row r="235" spans="1:9" s="89" customFormat="1" ht="15">
      <c r="A235" s="46"/>
      <c r="B235" s="46"/>
      <c r="C235" s="46"/>
      <c r="D235" s="122"/>
      <c r="E235" s="59" t="s">
        <v>525</v>
      </c>
      <c r="F235" s="18"/>
      <c r="G235" s="67"/>
      <c r="H235" s="68"/>
      <c r="I235" s="30">
        <v>0</v>
      </c>
    </row>
    <row r="236" spans="1:9" s="89" customFormat="1" ht="30">
      <c r="A236" s="46"/>
      <c r="B236" s="46"/>
      <c r="C236" s="46"/>
      <c r="D236" s="122"/>
      <c r="E236" s="6" t="s">
        <v>100</v>
      </c>
      <c r="F236" s="18">
        <v>6940177</v>
      </c>
      <c r="G236" s="81">
        <v>0</v>
      </c>
      <c r="H236" s="82">
        <v>0</v>
      </c>
      <c r="I236" s="30">
        <v>5744000</v>
      </c>
    </row>
    <row r="237" spans="1:9" s="38" customFormat="1" ht="15">
      <c r="A237" s="46"/>
      <c r="B237" s="46"/>
      <c r="C237" s="46"/>
      <c r="D237" s="122"/>
      <c r="E237" s="9" t="s">
        <v>680</v>
      </c>
      <c r="F237" s="22"/>
      <c r="G237" s="64"/>
      <c r="H237" s="65"/>
      <c r="I237" s="31">
        <v>3000000</v>
      </c>
    </row>
    <row r="238" spans="1:9" s="89" customFormat="1" ht="15">
      <c r="A238" s="46"/>
      <c r="B238" s="46"/>
      <c r="C238" s="46"/>
      <c r="D238" s="122"/>
      <c r="E238" s="59" t="s">
        <v>462</v>
      </c>
      <c r="F238" s="18"/>
      <c r="G238" s="67"/>
      <c r="H238" s="68"/>
      <c r="I238" s="30">
        <v>0</v>
      </c>
    </row>
    <row r="239" spans="1:9" s="89" customFormat="1" ht="60">
      <c r="A239" s="46"/>
      <c r="B239" s="46"/>
      <c r="C239" s="46"/>
      <c r="D239" s="122"/>
      <c r="E239" s="6" t="s">
        <v>101</v>
      </c>
      <c r="F239" s="18">
        <v>28909646</v>
      </c>
      <c r="G239" s="81">
        <v>1.3</v>
      </c>
      <c r="H239" s="82">
        <v>366397</v>
      </c>
      <c r="I239" s="30">
        <f>4499990+1086370</f>
        <v>5586360</v>
      </c>
    </row>
    <row r="240" spans="1:9" s="38" customFormat="1" ht="15">
      <c r="A240" s="46"/>
      <c r="B240" s="46"/>
      <c r="C240" s="46"/>
      <c r="D240" s="122"/>
      <c r="E240" s="9" t="s">
        <v>680</v>
      </c>
      <c r="F240" s="22"/>
      <c r="G240" s="64"/>
      <c r="H240" s="65"/>
      <c r="I240" s="31">
        <v>1425513</v>
      </c>
    </row>
    <row r="241" spans="1:9" s="89" customFormat="1" ht="15">
      <c r="A241" s="46"/>
      <c r="B241" s="46"/>
      <c r="C241" s="46"/>
      <c r="D241" s="122"/>
      <c r="E241" s="59" t="s">
        <v>463</v>
      </c>
      <c r="F241" s="18"/>
      <c r="G241" s="67"/>
      <c r="H241" s="68"/>
      <c r="I241" s="30">
        <v>0</v>
      </c>
    </row>
    <row r="242" spans="1:9" s="89" customFormat="1" ht="30">
      <c r="A242" s="46"/>
      <c r="B242" s="46"/>
      <c r="C242" s="46"/>
      <c r="D242" s="122"/>
      <c r="E242" s="6" t="s">
        <v>8</v>
      </c>
      <c r="F242" s="18">
        <v>13724116</v>
      </c>
      <c r="G242" s="81">
        <v>10.1</v>
      </c>
      <c r="H242" s="82">
        <v>1390190</v>
      </c>
      <c r="I242" s="30">
        <v>2433343</v>
      </c>
    </row>
    <row r="243" spans="1:9" s="38" customFormat="1" ht="15">
      <c r="A243" s="46"/>
      <c r="B243" s="46"/>
      <c r="C243" s="46"/>
      <c r="D243" s="122"/>
      <c r="E243" s="9" t="s">
        <v>680</v>
      </c>
      <c r="F243" s="22"/>
      <c r="G243" s="64"/>
      <c r="H243" s="65"/>
      <c r="I243" s="31">
        <v>1216443</v>
      </c>
    </row>
    <row r="244" spans="1:9" s="89" customFormat="1" ht="45">
      <c r="A244" s="46"/>
      <c r="B244" s="46"/>
      <c r="C244" s="46"/>
      <c r="D244" s="122"/>
      <c r="E244" s="6" t="s">
        <v>107</v>
      </c>
      <c r="F244" s="18">
        <v>11205930</v>
      </c>
      <c r="G244" s="81">
        <v>2</v>
      </c>
      <c r="H244" s="82">
        <v>225946</v>
      </c>
      <c r="I244" s="30">
        <f>1999459-32000</f>
        <v>1967459</v>
      </c>
    </row>
    <row r="245" spans="1:9" s="38" customFormat="1" ht="15">
      <c r="A245" s="46"/>
      <c r="B245" s="46"/>
      <c r="C245" s="46"/>
      <c r="D245" s="122"/>
      <c r="E245" s="9" t="s">
        <v>680</v>
      </c>
      <c r="F245" s="22"/>
      <c r="G245" s="64"/>
      <c r="H245" s="65"/>
      <c r="I245" s="31">
        <v>247445</v>
      </c>
    </row>
    <row r="246" spans="1:9" s="89" customFormat="1" ht="15">
      <c r="A246" s="46"/>
      <c r="B246" s="46"/>
      <c r="C246" s="46"/>
      <c r="D246" s="122"/>
      <c r="E246" s="59" t="s">
        <v>298</v>
      </c>
      <c r="F246" s="18"/>
      <c r="G246" s="67"/>
      <c r="H246" s="68"/>
      <c r="I246" s="30">
        <v>0</v>
      </c>
    </row>
    <row r="247" spans="1:9" s="89" customFormat="1" ht="45">
      <c r="A247" s="46"/>
      <c r="B247" s="46"/>
      <c r="C247" s="46"/>
      <c r="D247" s="122"/>
      <c r="E247" s="6" t="s">
        <v>102</v>
      </c>
      <c r="F247" s="18">
        <v>30997704</v>
      </c>
      <c r="G247" s="81">
        <v>0.3</v>
      </c>
      <c r="H247" s="82">
        <v>80185</v>
      </c>
      <c r="I247" s="30">
        <v>7899999</v>
      </c>
    </row>
    <row r="248" spans="1:9" s="38" customFormat="1" ht="15">
      <c r="A248" s="46"/>
      <c r="B248" s="46"/>
      <c r="C248" s="46"/>
      <c r="D248" s="122"/>
      <c r="E248" s="9" t="s">
        <v>680</v>
      </c>
      <c r="F248" s="22"/>
      <c r="G248" s="64"/>
      <c r="H248" s="65"/>
      <c r="I248" s="31">
        <v>6714102</v>
      </c>
    </row>
    <row r="249" spans="1:9" s="38" customFormat="1" ht="15">
      <c r="A249" s="46"/>
      <c r="B249" s="46"/>
      <c r="C249" s="46"/>
      <c r="D249" s="122"/>
      <c r="E249" s="80" t="s">
        <v>464</v>
      </c>
      <c r="F249" s="22"/>
      <c r="G249" s="64"/>
      <c r="H249" s="65"/>
      <c r="I249" s="31"/>
    </row>
    <row r="250" spans="1:9" s="89" customFormat="1" ht="45">
      <c r="A250" s="50"/>
      <c r="B250" s="50"/>
      <c r="C250" s="50"/>
      <c r="D250" s="66"/>
      <c r="E250" s="6" t="s">
        <v>108</v>
      </c>
      <c r="F250" s="18">
        <v>18723619</v>
      </c>
      <c r="G250" s="67">
        <v>5.6</v>
      </c>
      <c r="H250" s="68">
        <v>1051968</v>
      </c>
      <c r="I250" s="30">
        <f>463500+32000+5771000</f>
        <v>6266500</v>
      </c>
    </row>
    <row r="251" spans="1:9" s="38" customFormat="1" ht="15">
      <c r="A251" s="46"/>
      <c r="B251" s="46"/>
      <c r="C251" s="46"/>
      <c r="D251" s="122"/>
      <c r="E251" s="9" t="s">
        <v>680</v>
      </c>
      <c r="F251" s="22"/>
      <c r="G251" s="64"/>
      <c r="H251" s="65"/>
      <c r="I251" s="31">
        <v>450000</v>
      </c>
    </row>
    <row r="252" spans="1:9" s="89" customFormat="1" ht="15">
      <c r="A252" s="46"/>
      <c r="B252" s="46"/>
      <c r="C252" s="46"/>
      <c r="D252" s="122"/>
      <c r="E252" s="59" t="s">
        <v>466</v>
      </c>
      <c r="F252" s="18"/>
      <c r="G252" s="67"/>
      <c r="H252" s="68"/>
      <c r="I252" s="30">
        <v>0</v>
      </c>
    </row>
    <row r="253" spans="1:9" s="89" customFormat="1" ht="75">
      <c r="A253" s="46"/>
      <c r="B253" s="46"/>
      <c r="C253" s="46"/>
      <c r="D253" s="122"/>
      <c r="E253" s="6" t="s">
        <v>109</v>
      </c>
      <c r="F253" s="18">
        <v>12802937</v>
      </c>
      <c r="G253" s="81">
        <v>3.5</v>
      </c>
      <c r="H253" s="82">
        <v>442408</v>
      </c>
      <c r="I253" s="30">
        <f>1400915+4960545</f>
        <v>6361460</v>
      </c>
    </row>
    <row r="254" spans="1:9" s="38" customFormat="1" ht="15">
      <c r="A254" s="46"/>
      <c r="B254" s="46"/>
      <c r="C254" s="46"/>
      <c r="D254" s="122"/>
      <c r="E254" s="9" t="s">
        <v>680</v>
      </c>
      <c r="F254" s="22"/>
      <c r="G254" s="64"/>
      <c r="H254" s="65"/>
      <c r="I254" s="31">
        <v>521915</v>
      </c>
    </row>
    <row r="255" spans="1:9" s="89" customFormat="1" ht="15">
      <c r="A255" s="46"/>
      <c r="B255" s="46"/>
      <c r="C255" s="46"/>
      <c r="D255" s="122"/>
      <c r="E255" s="59" t="s">
        <v>460</v>
      </c>
      <c r="F255" s="18"/>
      <c r="G255" s="67"/>
      <c r="H255" s="68"/>
      <c r="I255" s="30">
        <v>0</v>
      </c>
    </row>
    <row r="256" spans="1:9" s="89" customFormat="1" ht="45">
      <c r="A256" s="46"/>
      <c r="B256" s="46"/>
      <c r="C256" s="46"/>
      <c r="D256" s="122"/>
      <c r="E256" s="6" t="s">
        <v>103</v>
      </c>
      <c r="F256" s="18">
        <v>33708422</v>
      </c>
      <c r="G256" s="81">
        <v>0.8</v>
      </c>
      <c r="H256" s="82">
        <v>280025</v>
      </c>
      <c r="I256" s="30">
        <f>5617000+129000</f>
        <v>5746000</v>
      </c>
    </row>
    <row r="257" spans="1:9" s="38" customFormat="1" ht="15">
      <c r="A257" s="46"/>
      <c r="B257" s="46"/>
      <c r="C257" s="46"/>
      <c r="D257" s="122"/>
      <c r="E257" s="9" t="s">
        <v>680</v>
      </c>
      <c r="F257" s="22"/>
      <c r="G257" s="64"/>
      <c r="H257" s="65"/>
      <c r="I257" s="31">
        <f>2185160+129000</f>
        <v>2314160</v>
      </c>
    </row>
    <row r="258" spans="1:9" s="89" customFormat="1" ht="30">
      <c r="A258" s="50"/>
      <c r="B258" s="50"/>
      <c r="C258" s="50"/>
      <c r="D258" s="66"/>
      <c r="E258" s="6" t="s">
        <v>485</v>
      </c>
      <c r="F258" s="18">
        <v>81320250</v>
      </c>
      <c r="G258" s="67">
        <v>70.6</v>
      </c>
      <c r="H258" s="68">
        <v>57383913</v>
      </c>
      <c r="I258" s="30">
        <f>1537023+2100000</f>
        <v>3637023</v>
      </c>
    </row>
    <row r="259" spans="1:9" s="38" customFormat="1" ht="15">
      <c r="A259" s="46"/>
      <c r="B259" s="46"/>
      <c r="C259" s="46"/>
      <c r="D259" s="122"/>
      <c r="E259" s="9" t="s">
        <v>680</v>
      </c>
      <c r="F259" s="22"/>
      <c r="G259" s="64"/>
      <c r="H259" s="65"/>
      <c r="I259" s="31">
        <v>1463831</v>
      </c>
    </row>
    <row r="260" spans="1:9" s="89" customFormat="1" ht="15">
      <c r="A260" s="46"/>
      <c r="B260" s="46"/>
      <c r="C260" s="46"/>
      <c r="D260" s="122"/>
      <c r="E260" s="59" t="s">
        <v>299</v>
      </c>
      <c r="F260" s="18"/>
      <c r="G260" s="67"/>
      <c r="H260" s="68"/>
      <c r="I260" s="30">
        <v>0</v>
      </c>
    </row>
    <row r="261" spans="1:9" s="89" customFormat="1" ht="45">
      <c r="A261" s="46"/>
      <c r="B261" s="46"/>
      <c r="C261" s="46"/>
      <c r="D261" s="122"/>
      <c r="E261" s="6" t="s">
        <v>104</v>
      </c>
      <c r="F261" s="18">
        <v>22376009</v>
      </c>
      <c r="G261" s="81">
        <v>3.6</v>
      </c>
      <c r="H261" s="82">
        <v>815890</v>
      </c>
      <c r="I261" s="30">
        <v>3000440</v>
      </c>
    </row>
    <row r="262" spans="1:9" s="38" customFormat="1" ht="15">
      <c r="A262" s="46"/>
      <c r="B262" s="46"/>
      <c r="C262" s="46"/>
      <c r="D262" s="122"/>
      <c r="E262" s="9" t="s">
        <v>680</v>
      </c>
      <c r="F262" s="22"/>
      <c r="G262" s="64"/>
      <c r="H262" s="65"/>
      <c r="I262" s="31">
        <v>2160618</v>
      </c>
    </row>
    <row r="263" spans="1:9" s="89" customFormat="1" ht="49.5" customHeight="1">
      <c r="A263" s="46"/>
      <c r="B263" s="46"/>
      <c r="C263" s="46"/>
      <c r="D263" s="122"/>
      <c r="E263" s="6" t="s">
        <v>349</v>
      </c>
      <c r="F263" s="18">
        <v>16890089</v>
      </c>
      <c r="G263" s="81">
        <v>1.3</v>
      </c>
      <c r="H263" s="82">
        <v>211211</v>
      </c>
      <c r="I263" s="30">
        <f>4200000-177247</f>
        <v>4022753</v>
      </c>
    </row>
    <row r="264" spans="1:9" s="38" customFormat="1" ht="15">
      <c r="A264" s="46"/>
      <c r="B264" s="46"/>
      <c r="C264" s="46"/>
      <c r="D264" s="122"/>
      <c r="E264" s="9" t="s">
        <v>680</v>
      </c>
      <c r="F264" s="22"/>
      <c r="G264" s="64"/>
      <c r="H264" s="65"/>
      <c r="I264" s="31">
        <f>3233964-177247</f>
        <v>3056717</v>
      </c>
    </row>
    <row r="265" spans="1:9" s="47" customFormat="1" ht="60">
      <c r="A265" s="46" t="s">
        <v>730</v>
      </c>
      <c r="B265" s="46" t="s">
        <v>731</v>
      </c>
      <c r="C265" s="46" t="s">
        <v>285</v>
      </c>
      <c r="D265" s="122" t="s">
        <v>729</v>
      </c>
      <c r="E265" s="9"/>
      <c r="F265" s="43"/>
      <c r="G265" s="67"/>
      <c r="H265" s="68"/>
      <c r="I265" s="30">
        <f>I266+I269</f>
        <v>9252206</v>
      </c>
    </row>
    <row r="266" spans="1:9" s="47" customFormat="1" ht="15">
      <c r="A266" s="46"/>
      <c r="B266" s="46"/>
      <c r="C266" s="46"/>
      <c r="D266" s="122"/>
      <c r="E266" s="6" t="s">
        <v>764</v>
      </c>
      <c r="F266" s="22"/>
      <c r="G266" s="40"/>
      <c r="H266" s="22"/>
      <c r="I266" s="30">
        <v>9091442</v>
      </c>
    </row>
    <row r="267" spans="1:9" s="47" customFormat="1" ht="15">
      <c r="A267" s="46"/>
      <c r="B267" s="46"/>
      <c r="C267" s="46"/>
      <c r="D267" s="122"/>
      <c r="E267" s="9" t="s">
        <v>720</v>
      </c>
      <c r="F267" s="22"/>
      <c r="G267" s="40"/>
      <c r="H267" s="22"/>
      <c r="I267" s="31">
        <v>8891442</v>
      </c>
    </row>
    <row r="268" spans="1:9" s="47" customFormat="1" ht="15">
      <c r="A268" s="46"/>
      <c r="B268" s="46"/>
      <c r="C268" s="46"/>
      <c r="D268" s="122"/>
      <c r="E268" s="59" t="s">
        <v>356</v>
      </c>
      <c r="F268" s="18"/>
      <c r="G268" s="67"/>
      <c r="H268" s="68"/>
      <c r="I268" s="30"/>
    </row>
    <row r="269" spans="1:9" s="47" customFormat="1" ht="30">
      <c r="A269" s="46"/>
      <c r="B269" s="46"/>
      <c r="C269" s="46"/>
      <c r="D269" s="122"/>
      <c r="E269" s="6" t="s">
        <v>105</v>
      </c>
      <c r="F269" s="18"/>
      <c r="G269" s="81"/>
      <c r="H269" s="82"/>
      <c r="I269" s="30">
        <v>160764</v>
      </c>
    </row>
    <row r="270" spans="1:9" s="47" customFormat="1" ht="15">
      <c r="A270" s="46"/>
      <c r="B270" s="46"/>
      <c r="C270" s="46"/>
      <c r="D270" s="122"/>
      <c r="E270" s="62" t="s">
        <v>720</v>
      </c>
      <c r="F270" s="44"/>
      <c r="G270" s="100"/>
      <c r="H270" s="101"/>
      <c r="I270" s="31">
        <v>152658</v>
      </c>
    </row>
    <row r="271" spans="1:9" s="47" customFormat="1" ht="15">
      <c r="A271" s="46"/>
      <c r="B271" s="46"/>
      <c r="C271" s="46"/>
      <c r="D271" s="122"/>
      <c r="E271" s="9" t="s">
        <v>681</v>
      </c>
      <c r="F271" s="44"/>
      <c r="G271" s="100"/>
      <c r="H271" s="101"/>
      <c r="I271" s="31">
        <v>152658</v>
      </c>
    </row>
    <row r="272" spans="1:9" s="47" customFormat="1" ht="30">
      <c r="A272" s="46" t="s">
        <v>486</v>
      </c>
      <c r="B272" s="46" t="s">
        <v>293</v>
      </c>
      <c r="C272" s="46" t="s">
        <v>285</v>
      </c>
      <c r="D272" s="122" t="s">
        <v>294</v>
      </c>
      <c r="E272" s="9"/>
      <c r="F272" s="43"/>
      <c r="G272" s="67"/>
      <c r="H272" s="68"/>
      <c r="I272" s="30">
        <f>I276+I274+I281+I279</f>
        <v>12863332</v>
      </c>
    </row>
    <row r="273" spans="1:9" s="47" customFormat="1" ht="15">
      <c r="A273" s="46"/>
      <c r="B273" s="46"/>
      <c r="C273" s="46"/>
      <c r="D273" s="122"/>
      <c r="E273" s="59" t="s">
        <v>356</v>
      </c>
      <c r="F273" s="99"/>
      <c r="G273" s="128"/>
      <c r="H273" s="129"/>
      <c r="I273" s="30"/>
    </row>
    <row r="274" spans="1:9" s="63" customFormat="1" ht="30" customHeight="1">
      <c r="A274" s="32"/>
      <c r="B274" s="32"/>
      <c r="C274" s="32"/>
      <c r="D274" s="130"/>
      <c r="E274" s="96" t="s">
        <v>106</v>
      </c>
      <c r="F274" s="43">
        <v>49722332</v>
      </c>
      <c r="G274" s="131">
        <v>75.86597507132208</v>
      </c>
      <c r="H274" s="132">
        <v>37722332</v>
      </c>
      <c r="I274" s="133">
        <v>12000000</v>
      </c>
    </row>
    <row r="275" spans="1:9" s="47" customFormat="1" ht="15">
      <c r="A275" s="46"/>
      <c r="B275" s="46"/>
      <c r="C275" s="46"/>
      <c r="D275" s="122"/>
      <c r="E275" s="59" t="s">
        <v>437</v>
      </c>
      <c r="F275" s="43"/>
      <c r="G275" s="67"/>
      <c r="H275" s="68"/>
      <c r="I275" s="30"/>
    </row>
    <row r="276" spans="1:9" s="63" customFormat="1" ht="30" customHeight="1">
      <c r="A276" s="32"/>
      <c r="B276" s="32"/>
      <c r="C276" s="32"/>
      <c r="D276" s="130"/>
      <c r="E276" s="6" t="s">
        <v>94</v>
      </c>
      <c r="F276" s="18">
        <v>5355882</v>
      </c>
      <c r="G276" s="131"/>
      <c r="H276" s="132"/>
      <c r="I276" s="133">
        <v>324374</v>
      </c>
    </row>
    <row r="277" spans="1:9" s="75" customFormat="1" ht="15">
      <c r="A277" s="74"/>
      <c r="B277" s="74"/>
      <c r="C277" s="74"/>
      <c r="D277" s="134"/>
      <c r="E277" s="9" t="s">
        <v>682</v>
      </c>
      <c r="F277" s="22"/>
      <c r="G277" s="135"/>
      <c r="H277" s="136"/>
      <c r="I277" s="137">
        <v>324374</v>
      </c>
    </row>
    <row r="278" spans="1:9" s="34" customFormat="1" ht="15">
      <c r="A278" s="50"/>
      <c r="B278" s="50"/>
      <c r="C278" s="50"/>
      <c r="D278" s="66"/>
      <c r="E278" s="59" t="s">
        <v>79</v>
      </c>
      <c r="F278" s="18"/>
      <c r="G278" s="124"/>
      <c r="H278" s="125"/>
      <c r="I278" s="30"/>
    </row>
    <row r="279" spans="1:9" s="34" customFormat="1" ht="31.5" customHeight="1">
      <c r="A279" s="50"/>
      <c r="B279" s="50"/>
      <c r="C279" s="50"/>
      <c r="D279" s="66"/>
      <c r="E279" s="6" t="s">
        <v>80</v>
      </c>
      <c r="F279" s="18">
        <v>25000000</v>
      </c>
      <c r="G279" s="124">
        <v>79.7</v>
      </c>
      <c r="H279" s="125">
        <v>19928270</v>
      </c>
      <c r="I279" s="30">
        <v>438958</v>
      </c>
    </row>
    <row r="280" spans="1:9" s="47" customFormat="1" ht="15">
      <c r="A280" s="46"/>
      <c r="B280" s="46"/>
      <c r="C280" s="46"/>
      <c r="D280" s="122"/>
      <c r="E280" s="59" t="s">
        <v>542</v>
      </c>
      <c r="F280" s="99"/>
      <c r="G280" s="128"/>
      <c r="H280" s="129"/>
      <c r="I280" s="30"/>
    </row>
    <row r="281" spans="1:9" s="63" customFormat="1" ht="45">
      <c r="A281" s="32"/>
      <c r="B281" s="32"/>
      <c r="C281" s="32"/>
      <c r="D281" s="130"/>
      <c r="E281" s="96" t="s">
        <v>666</v>
      </c>
      <c r="F281" s="43">
        <v>100000</v>
      </c>
      <c r="G281" s="131"/>
      <c r="H281" s="132"/>
      <c r="I281" s="133">
        <v>100000</v>
      </c>
    </row>
    <row r="282" spans="1:10" s="34" customFormat="1" ht="30">
      <c r="A282" s="50" t="s">
        <v>639</v>
      </c>
      <c r="B282" s="50" t="s">
        <v>640</v>
      </c>
      <c r="C282" s="50"/>
      <c r="D282" s="66" t="s">
        <v>641</v>
      </c>
      <c r="E282" s="6"/>
      <c r="F282" s="18"/>
      <c r="G282" s="41"/>
      <c r="H282" s="18"/>
      <c r="I282" s="30">
        <f>I283+I302</f>
        <v>886971005</v>
      </c>
      <c r="J282" s="117"/>
    </row>
    <row r="283" spans="1:9" s="47" customFormat="1" ht="49.5" customHeight="1">
      <c r="A283" s="46" t="s">
        <v>642</v>
      </c>
      <c r="B283" s="46" t="s">
        <v>644</v>
      </c>
      <c r="C283" s="46" t="s">
        <v>723</v>
      </c>
      <c r="D283" s="122" t="s">
        <v>643</v>
      </c>
      <c r="E283" s="9"/>
      <c r="F283" s="22"/>
      <c r="G283" s="40"/>
      <c r="H283" s="22"/>
      <c r="I283" s="31">
        <f>I284+I292+I293+I294+I295+I296+I297+I298+I299+I289+I300+I301+I287</f>
        <v>852444005</v>
      </c>
    </row>
    <row r="284" spans="1:9" s="47" customFormat="1" ht="18.75" customHeight="1">
      <c r="A284" s="46"/>
      <c r="B284" s="46"/>
      <c r="C284" s="46"/>
      <c r="D284" s="122"/>
      <c r="E284" s="6" t="s">
        <v>764</v>
      </c>
      <c r="F284" s="22"/>
      <c r="G284" s="40"/>
      <c r="H284" s="22"/>
      <c r="I284" s="30">
        <f>729510339+60623926</f>
        <v>790134265</v>
      </c>
    </row>
    <row r="285" spans="1:9" s="47" customFormat="1" ht="18.75" customHeight="1">
      <c r="A285" s="46"/>
      <c r="B285" s="46"/>
      <c r="C285" s="46"/>
      <c r="D285" s="122"/>
      <c r="E285" s="9" t="s">
        <v>681</v>
      </c>
      <c r="F285" s="22"/>
      <c r="G285" s="40"/>
      <c r="H285" s="22"/>
      <c r="I285" s="31">
        <v>4780760</v>
      </c>
    </row>
    <row r="286" spans="1:9" s="34" customFormat="1" ht="18.75" customHeight="1">
      <c r="A286" s="50"/>
      <c r="B286" s="50"/>
      <c r="C286" s="50"/>
      <c r="D286" s="66"/>
      <c r="E286" s="119" t="s">
        <v>522</v>
      </c>
      <c r="F286" s="72"/>
      <c r="G286" s="138"/>
      <c r="H286" s="76"/>
      <c r="I286" s="139"/>
    </row>
    <row r="287" spans="1:9" s="34" customFormat="1" ht="30">
      <c r="A287" s="50"/>
      <c r="B287" s="50"/>
      <c r="C287" s="50"/>
      <c r="D287" s="66"/>
      <c r="E287" s="120" t="s">
        <v>9</v>
      </c>
      <c r="F287" s="18">
        <v>41396848</v>
      </c>
      <c r="G287" s="71">
        <v>52.4</v>
      </c>
      <c r="H287" s="72">
        <v>21696848</v>
      </c>
      <c r="I287" s="140">
        <f>29700000-10000000</f>
        <v>19700000</v>
      </c>
    </row>
    <row r="288" spans="1:9" s="47" customFormat="1" ht="15">
      <c r="A288" s="46"/>
      <c r="B288" s="46"/>
      <c r="C288" s="46"/>
      <c r="D288" s="122"/>
      <c r="E288" s="93" t="s">
        <v>510</v>
      </c>
      <c r="F288" s="18"/>
      <c r="G288" s="81"/>
      <c r="H288" s="82"/>
      <c r="I288" s="141"/>
    </row>
    <row r="289" spans="1:9" s="47" customFormat="1" ht="45">
      <c r="A289" s="46"/>
      <c r="B289" s="46"/>
      <c r="C289" s="46"/>
      <c r="D289" s="122"/>
      <c r="E289" s="6" t="s">
        <v>110</v>
      </c>
      <c r="F289" s="18"/>
      <c r="G289" s="124"/>
      <c r="H289" s="125"/>
      <c r="I289" s="30">
        <v>1032338</v>
      </c>
    </row>
    <row r="290" spans="1:9" s="47" customFormat="1" ht="15">
      <c r="A290" s="46"/>
      <c r="B290" s="46"/>
      <c r="C290" s="46"/>
      <c r="D290" s="122"/>
      <c r="E290" s="9" t="s">
        <v>681</v>
      </c>
      <c r="F290" s="22"/>
      <c r="G290" s="126"/>
      <c r="H290" s="127"/>
      <c r="I290" s="31">
        <v>1032338</v>
      </c>
    </row>
    <row r="291" spans="1:9" s="47" customFormat="1" ht="15">
      <c r="A291" s="46"/>
      <c r="B291" s="46"/>
      <c r="C291" s="46"/>
      <c r="D291" s="122"/>
      <c r="E291" s="59" t="s">
        <v>467</v>
      </c>
      <c r="F291" s="18"/>
      <c r="G291" s="124"/>
      <c r="H291" s="125"/>
      <c r="I291" s="30"/>
    </row>
    <row r="292" spans="1:9" s="47" customFormat="1" ht="90">
      <c r="A292" s="46"/>
      <c r="B292" s="46"/>
      <c r="C292" s="46"/>
      <c r="D292" s="122"/>
      <c r="E292" s="6" t="s">
        <v>201</v>
      </c>
      <c r="F292" s="18">
        <v>34604115</v>
      </c>
      <c r="G292" s="124"/>
      <c r="H292" s="125"/>
      <c r="I292" s="30">
        <v>16251454</v>
      </c>
    </row>
    <row r="293" spans="1:9" s="47" customFormat="1" ht="75">
      <c r="A293" s="46"/>
      <c r="B293" s="46"/>
      <c r="C293" s="46"/>
      <c r="D293" s="122"/>
      <c r="E293" s="6" t="s">
        <v>111</v>
      </c>
      <c r="F293" s="18">
        <v>131379674</v>
      </c>
      <c r="G293" s="124">
        <v>48.6</v>
      </c>
      <c r="H293" s="125">
        <v>63808726</v>
      </c>
      <c r="I293" s="30">
        <v>1000</v>
      </c>
    </row>
    <row r="294" spans="1:9" s="47" customFormat="1" ht="75">
      <c r="A294" s="46"/>
      <c r="B294" s="46"/>
      <c r="C294" s="46"/>
      <c r="D294" s="122"/>
      <c r="E294" s="6" t="s">
        <v>112</v>
      </c>
      <c r="F294" s="18">
        <v>109657417</v>
      </c>
      <c r="G294" s="124">
        <v>68.1</v>
      </c>
      <c r="H294" s="125">
        <v>74652023</v>
      </c>
      <c r="I294" s="30">
        <v>1000</v>
      </c>
    </row>
    <row r="295" spans="1:9" s="47" customFormat="1" ht="90">
      <c r="A295" s="46"/>
      <c r="B295" s="46"/>
      <c r="C295" s="46"/>
      <c r="D295" s="122"/>
      <c r="E295" s="6" t="s">
        <v>113</v>
      </c>
      <c r="F295" s="18">
        <v>145681700</v>
      </c>
      <c r="G295" s="124">
        <v>46.2</v>
      </c>
      <c r="H295" s="125">
        <v>67298729</v>
      </c>
      <c r="I295" s="30">
        <f>163808+76841</f>
        <v>240649</v>
      </c>
    </row>
    <row r="296" spans="1:9" s="47" customFormat="1" ht="75">
      <c r="A296" s="46"/>
      <c r="B296" s="46"/>
      <c r="C296" s="46"/>
      <c r="D296" s="122"/>
      <c r="E296" s="6" t="s">
        <v>114</v>
      </c>
      <c r="F296" s="18">
        <v>88500500</v>
      </c>
      <c r="G296" s="124">
        <v>42.6</v>
      </c>
      <c r="H296" s="125">
        <v>37659602</v>
      </c>
      <c r="I296" s="30">
        <v>1000</v>
      </c>
    </row>
    <row r="297" spans="1:9" s="47" customFormat="1" ht="90">
      <c r="A297" s="46"/>
      <c r="B297" s="46"/>
      <c r="C297" s="46"/>
      <c r="D297" s="122"/>
      <c r="E297" s="6" t="s">
        <v>202</v>
      </c>
      <c r="F297" s="18">
        <v>124035900</v>
      </c>
      <c r="G297" s="124">
        <v>83.1</v>
      </c>
      <c r="H297" s="125">
        <v>103028073</v>
      </c>
      <c r="I297" s="30">
        <f>341192+97001</f>
        <v>438193</v>
      </c>
    </row>
    <row r="298" spans="1:9" s="47" customFormat="1" ht="75">
      <c r="A298" s="46"/>
      <c r="B298" s="46"/>
      <c r="C298" s="46"/>
      <c r="D298" s="122"/>
      <c r="E298" s="6" t="s">
        <v>115</v>
      </c>
      <c r="F298" s="18">
        <v>62320799</v>
      </c>
      <c r="G298" s="124"/>
      <c r="H298" s="125"/>
      <c r="I298" s="30">
        <v>23387948</v>
      </c>
    </row>
    <row r="299" spans="1:9" s="47" customFormat="1" ht="90">
      <c r="A299" s="46"/>
      <c r="B299" s="46"/>
      <c r="C299" s="46"/>
      <c r="D299" s="122"/>
      <c r="E299" s="6" t="s">
        <v>116</v>
      </c>
      <c r="F299" s="18">
        <v>11259093</v>
      </c>
      <c r="G299" s="124">
        <v>50.7</v>
      </c>
      <c r="H299" s="125">
        <v>5709757</v>
      </c>
      <c r="I299" s="30">
        <f>30000-11757</f>
        <v>18243</v>
      </c>
    </row>
    <row r="300" spans="1:9" s="47" customFormat="1" ht="75">
      <c r="A300" s="46"/>
      <c r="B300" s="46"/>
      <c r="C300" s="46"/>
      <c r="D300" s="122"/>
      <c r="E300" s="6" t="s">
        <v>117</v>
      </c>
      <c r="F300" s="18">
        <v>41340433</v>
      </c>
      <c r="G300" s="124">
        <v>46.5</v>
      </c>
      <c r="H300" s="125">
        <v>19211915</v>
      </c>
      <c r="I300" s="30">
        <f>100000+185915</f>
        <v>285915</v>
      </c>
    </row>
    <row r="301" spans="1:9" s="47" customFormat="1" ht="60">
      <c r="A301" s="46"/>
      <c r="B301" s="46"/>
      <c r="C301" s="46"/>
      <c r="D301" s="122"/>
      <c r="E301" s="6" t="s">
        <v>203</v>
      </c>
      <c r="F301" s="18">
        <v>80062331</v>
      </c>
      <c r="G301" s="124">
        <v>43.2</v>
      </c>
      <c r="H301" s="125">
        <v>34583793</v>
      </c>
      <c r="I301" s="30">
        <f>100000+852000</f>
        <v>952000</v>
      </c>
    </row>
    <row r="302" spans="1:9" s="47" customFormat="1" ht="49.5" customHeight="1">
      <c r="A302" s="46" t="s">
        <v>235</v>
      </c>
      <c r="B302" s="46" t="s">
        <v>236</v>
      </c>
      <c r="C302" s="46" t="s">
        <v>723</v>
      </c>
      <c r="D302" s="122" t="s">
        <v>695</v>
      </c>
      <c r="E302" s="9" t="s">
        <v>764</v>
      </c>
      <c r="F302" s="22"/>
      <c r="G302" s="64"/>
      <c r="H302" s="65"/>
      <c r="I302" s="31">
        <f>32727000+300000+1500000</f>
        <v>34527000</v>
      </c>
    </row>
    <row r="303" spans="1:9" s="34" customFormat="1" ht="18.75" customHeight="1">
      <c r="A303" s="50" t="s">
        <v>468</v>
      </c>
      <c r="B303" s="50" t="s">
        <v>469</v>
      </c>
      <c r="C303" s="50" t="s">
        <v>470</v>
      </c>
      <c r="D303" s="66" t="s">
        <v>471</v>
      </c>
      <c r="E303" s="6"/>
      <c r="F303" s="18"/>
      <c r="G303" s="41"/>
      <c r="H303" s="18"/>
      <c r="I303" s="30">
        <f>I305+I307+I309+I310</f>
        <v>9085000</v>
      </c>
    </row>
    <row r="304" spans="1:9" s="34" customFormat="1" ht="15">
      <c r="A304" s="50"/>
      <c r="B304" s="50"/>
      <c r="C304" s="50"/>
      <c r="D304" s="66"/>
      <c r="E304" s="59" t="s">
        <v>521</v>
      </c>
      <c r="F304" s="18"/>
      <c r="G304" s="124"/>
      <c r="H304" s="125"/>
      <c r="I304" s="30"/>
    </row>
    <row r="305" spans="1:9" s="34" customFormat="1" ht="45">
      <c r="A305" s="50"/>
      <c r="B305" s="50"/>
      <c r="C305" s="50"/>
      <c r="D305" s="66"/>
      <c r="E305" s="6" t="s">
        <v>10</v>
      </c>
      <c r="F305" s="18">
        <v>8748526</v>
      </c>
      <c r="G305" s="124">
        <v>3.9838253895570523</v>
      </c>
      <c r="H305" s="125">
        <v>348526</v>
      </c>
      <c r="I305" s="30">
        <v>8400000</v>
      </c>
    </row>
    <row r="306" spans="1:9" s="34" customFormat="1" ht="15">
      <c r="A306" s="50"/>
      <c r="B306" s="50"/>
      <c r="C306" s="50"/>
      <c r="D306" s="66"/>
      <c r="E306" s="80" t="s">
        <v>790</v>
      </c>
      <c r="F306" s="18"/>
      <c r="G306" s="124"/>
      <c r="H306" s="125"/>
      <c r="I306" s="30"/>
    </row>
    <row r="307" spans="1:9" s="34" customFormat="1" ht="90">
      <c r="A307" s="50"/>
      <c r="B307" s="50"/>
      <c r="C307" s="50"/>
      <c r="D307" s="66"/>
      <c r="E307" s="6" t="s">
        <v>52</v>
      </c>
      <c r="F307" s="18">
        <v>3500000</v>
      </c>
      <c r="G307" s="124">
        <v>93.17142857142858</v>
      </c>
      <c r="H307" s="125">
        <v>3261000</v>
      </c>
      <c r="I307" s="30">
        <v>239000</v>
      </c>
    </row>
    <row r="308" spans="1:9" s="34" customFormat="1" ht="15">
      <c r="A308" s="50"/>
      <c r="B308" s="50"/>
      <c r="C308" s="50"/>
      <c r="D308" s="66"/>
      <c r="E308" s="80" t="s">
        <v>462</v>
      </c>
      <c r="F308" s="18"/>
      <c r="G308" s="124"/>
      <c r="H308" s="125"/>
      <c r="I308" s="30"/>
    </row>
    <row r="309" spans="1:9" s="34" customFormat="1" ht="90">
      <c r="A309" s="50"/>
      <c r="B309" s="50"/>
      <c r="C309" s="50"/>
      <c r="D309" s="66"/>
      <c r="E309" s="6" t="s">
        <v>53</v>
      </c>
      <c r="F309" s="18">
        <v>1500000</v>
      </c>
      <c r="G309" s="124">
        <v>85.53333333333333</v>
      </c>
      <c r="H309" s="125">
        <v>1283000</v>
      </c>
      <c r="I309" s="30">
        <v>217000</v>
      </c>
    </row>
    <row r="310" spans="1:9" s="34" customFormat="1" ht="90">
      <c r="A310" s="50"/>
      <c r="B310" s="50"/>
      <c r="C310" s="50"/>
      <c r="D310" s="66"/>
      <c r="E310" s="6" t="s">
        <v>54</v>
      </c>
      <c r="F310" s="18">
        <v>3000000</v>
      </c>
      <c r="G310" s="124">
        <v>92.36666666666666</v>
      </c>
      <c r="H310" s="125">
        <v>2771000</v>
      </c>
      <c r="I310" s="30">
        <v>229000</v>
      </c>
    </row>
    <row r="311" spans="1:9" s="53" customFormat="1" ht="34.5" customHeight="1">
      <c r="A311" s="37" t="s">
        <v>629</v>
      </c>
      <c r="B311" s="37"/>
      <c r="C311" s="10"/>
      <c r="D311" s="10" t="s">
        <v>589</v>
      </c>
      <c r="E311" s="11"/>
      <c r="F311" s="20"/>
      <c r="G311" s="118"/>
      <c r="H311" s="20"/>
      <c r="I311" s="29">
        <f>I312</f>
        <v>2432478472</v>
      </c>
    </row>
    <row r="312" spans="1:9" s="53" customFormat="1" ht="34.5" customHeight="1">
      <c r="A312" s="37" t="s">
        <v>630</v>
      </c>
      <c r="B312" s="37"/>
      <c r="C312" s="10"/>
      <c r="D312" s="121" t="s">
        <v>589</v>
      </c>
      <c r="E312" s="11"/>
      <c r="F312" s="20"/>
      <c r="G312" s="118"/>
      <c r="H312" s="20"/>
      <c r="I312" s="29">
        <f>I313+I314+I318+I319+I320+I321+I323+I327+I328+I330+I332+I334+I352+I599+I579+I594+I316+I322+I325+I326+I794+I340</f>
        <v>2432478472</v>
      </c>
    </row>
    <row r="313" spans="1:9" s="53" customFormat="1" ht="21.75" customHeight="1">
      <c r="A313" s="49" t="s">
        <v>472</v>
      </c>
      <c r="B313" s="50" t="s">
        <v>473</v>
      </c>
      <c r="C313" s="50" t="s">
        <v>474</v>
      </c>
      <c r="D313" s="95" t="s">
        <v>475</v>
      </c>
      <c r="E313" s="6" t="s">
        <v>764</v>
      </c>
      <c r="F313" s="51"/>
      <c r="G313" s="52"/>
      <c r="H313" s="51"/>
      <c r="I313" s="30">
        <f>21177048+12140000</f>
        <v>33317048</v>
      </c>
    </row>
    <row r="314" spans="1:9" s="53" customFormat="1" ht="60.75" customHeight="1">
      <c r="A314" s="49" t="s">
        <v>476</v>
      </c>
      <c r="B314" s="50" t="s">
        <v>477</v>
      </c>
      <c r="C314" s="50" t="s">
        <v>478</v>
      </c>
      <c r="D314" s="95" t="s">
        <v>416</v>
      </c>
      <c r="E314" s="6" t="s">
        <v>764</v>
      </c>
      <c r="F314" s="51"/>
      <c r="G314" s="52"/>
      <c r="H314" s="51"/>
      <c r="I314" s="30">
        <f>279861958+87686100</f>
        <v>367548058</v>
      </c>
    </row>
    <row r="315" spans="1:9" s="57" customFormat="1" ht="15">
      <c r="A315" s="54"/>
      <c r="B315" s="46"/>
      <c r="C315" s="46"/>
      <c r="D315" s="94" t="s">
        <v>237</v>
      </c>
      <c r="E315" s="9"/>
      <c r="F315" s="55"/>
      <c r="G315" s="56"/>
      <c r="H315" s="55"/>
      <c r="I315" s="31">
        <v>132657</v>
      </c>
    </row>
    <row r="316" spans="1:9" s="53" customFormat="1" ht="47.25" customHeight="1">
      <c r="A316" s="49" t="s">
        <v>238</v>
      </c>
      <c r="B316" s="50" t="s">
        <v>239</v>
      </c>
      <c r="C316" s="50" t="s">
        <v>481</v>
      </c>
      <c r="D316" s="95" t="s">
        <v>240</v>
      </c>
      <c r="E316" s="6" t="s">
        <v>764</v>
      </c>
      <c r="F316" s="51"/>
      <c r="G316" s="52"/>
      <c r="H316" s="51"/>
      <c r="I316" s="30">
        <v>244668</v>
      </c>
    </row>
    <row r="317" spans="1:9" s="57" customFormat="1" ht="15">
      <c r="A317" s="54"/>
      <c r="B317" s="46"/>
      <c r="C317" s="46"/>
      <c r="D317" s="94" t="s">
        <v>237</v>
      </c>
      <c r="E317" s="9"/>
      <c r="F317" s="55"/>
      <c r="G317" s="56"/>
      <c r="H317" s="55"/>
      <c r="I317" s="31">
        <v>229484</v>
      </c>
    </row>
    <row r="318" spans="1:9" s="53" customFormat="1" ht="93.75" customHeight="1">
      <c r="A318" s="49" t="s">
        <v>479</v>
      </c>
      <c r="B318" s="50" t="s">
        <v>480</v>
      </c>
      <c r="C318" s="50" t="s">
        <v>481</v>
      </c>
      <c r="D318" s="95" t="s">
        <v>797</v>
      </c>
      <c r="E318" s="6" t="s">
        <v>764</v>
      </c>
      <c r="F318" s="51"/>
      <c r="G318" s="52"/>
      <c r="H318" s="51"/>
      <c r="I318" s="30">
        <f>53358451+26059000</f>
        <v>79417451</v>
      </c>
    </row>
    <row r="319" spans="1:9" s="53" customFormat="1" ht="39.75" customHeight="1">
      <c r="A319" s="49" t="s">
        <v>798</v>
      </c>
      <c r="B319" s="50" t="s">
        <v>799</v>
      </c>
      <c r="C319" s="50" t="s">
        <v>311</v>
      </c>
      <c r="D319" s="95" t="s">
        <v>422</v>
      </c>
      <c r="E319" s="6" t="s">
        <v>764</v>
      </c>
      <c r="F319" s="51"/>
      <c r="G319" s="52"/>
      <c r="H319" s="51"/>
      <c r="I319" s="30">
        <f>6380245-2280245</f>
        <v>4100000</v>
      </c>
    </row>
    <row r="320" spans="1:9" s="53" customFormat="1" ht="21" customHeight="1">
      <c r="A320" s="49" t="s">
        <v>312</v>
      </c>
      <c r="B320" s="50" t="s">
        <v>313</v>
      </c>
      <c r="C320" s="50" t="s">
        <v>314</v>
      </c>
      <c r="D320" s="95" t="s">
        <v>315</v>
      </c>
      <c r="E320" s="6" t="s">
        <v>764</v>
      </c>
      <c r="F320" s="51"/>
      <c r="G320" s="52"/>
      <c r="H320" s="51"/>
      <c r="I320" s="30">
        <f>21846857-2205831+3200000</f>
        <v>22841026</v>
      </c>
    </row>
    <row r="321" spans="1:9" s="53" customFormat="1" ht="15">
      <c r="A321" s="49" t="s">
        <v>316</v>
      </c>
      <c r="B321" s="50" t="s">
        <v>317</v>
      </c>
      <c r="C321" s="50" t="s">
        <v>318</v>
      </c>
      <c r="D321" s="95" t="s">
        <v>319</v>
      </c>
      <c r="E321" s="6" t="s">
        <v>764</v>
      </c>
      <c r="F321" s="51"/>
      <c r="G321" s="52"/>
      <c r="H321" s="51"/>
      <c r="I321" s="30">
        <f>24504860+3588860</f>
        <v>28093720</v>
      </c>
    </row>
    <row r="322" spans="1:9" s="53" customFormat="1" ht="15">
      <c r="A322" s="49" t="s">
        <v>241</v>
      </c>
      <c r="B322" s="50" t="s">
        <v>242</v>
      </c>
      <c r="C322" s="50" t="s">
        <v>243</v>
      </c>
      <c r="D322" s="95" t="s">
        <v>244</v>
      </c>
      <c r="E322" s="6" t="s">
        <v>764</v>
      </c>
      <c r="F322" s="51"/>
      <c r="G322" s="52"/>
      <c r="H322" s="51"/>
      <c r="I322" s="30">
        <v>100000</v>
      </c>
    </row>
    <row r="323" spans="1:9" s="53" customFormat="1" ht="15">
      <c r="A323" s="49" t="s">
        <v>320</v>
      </c>
      <c r="B323" s="50" t="s">
        <v>321</v>
      </c>
      <c r="C323" s="50"/>
      <c r="D323" s="95" t="s">
        <v>288</v>
      </c>
      <c r="E323" s="6" t="s">
        <v>764</v>
      </c>
      <c r="F323" s="51"/>
      <c r="G323" s="52"/>
      <c r="H323" s="51"/>
      <c r="I323" s="30">
        <f>I324</f>
        <v>14569161</v>
      </c>
    </row>
    <row r="324" spans="1:9" s="57" customFormat="1" ht="45" customHeight="1">
      <c r="A324" s="54" t="s">
        <v>322</v>
      </c>
      <c r="B324" s="46" t="s">
        <v>323</v>
      </c>
      <c r="C324" s="46" t="s">
        <v>289</v>
      </c>
      <c r="D324" s="94" t="s">
        <v>324</v>
      </c>
      <c r="E324" s="9" t="s">
        <v>764</v>
      </c>
      <c r="F324" s="55"/>
      <c r="G324" s="56"/>
      <c r="H324" s="55"/>
      <c r="I324" s="31">
        <f>11069161+3500000</f>
        <v>14569161</v>
      </c>
    </row>
    <row r="325" spans="1:9" s="53" customFormat="1" ht="17.25" customHeight="1">
      <c r="A325" s="49" t="s">
        <v>245</v>
      </c>
      <c r="B325" s="50" t="s">
        <v>246</v>
      </c>
      <c r="C325" s="50" t="s">
        <v>247</v>
      </c>
      <c r="D325" s="95" t="s">
        <v>659</v>
      </c>
      <c r="E325" s="6" t="s">
        <v>764</v>
      </c>
      <c r="F325" s="51"/>
      <c r="G325" s="52"/>
      <c r="H325" s="51"/>
      <c r="I325" s="30">
        <v>200000</v>
      </c>
    </row>
    <row r="326" spans="1:9" s="53" customFormat="1" ht="17.25" customHeight="1">
      <c r="A326" s="49" t="s">
        <v>660</v>
      </c>
      <c r="B326" s="50" t="s">
        <v>703</v>
      </c>
      <c r="C326" s="50" t="s">
        <v>704</v>
      </c>
      <c r="D326" s="95" t="s">
        <v>705</v>
      </c>
      <c r="E326" s="6" t="s">
        <v>764</v>
      </c>
      <c r="F326" s="51"/>
      <c r="G326" s="52"/>
      <c r="H326" s="51"/>
      <c r="I326" s="30">
        <v>1169064</v>
      </c>
    </row>
    <row r="327" spans="1:9" s="53" customFormat="1" ht="33.75" customHeight="1">
      <c r="A327" s="49" t="s">
        <v>325</v>
      </c>
      <c r="B327" s="49" t="s">
        <v>326</v>
      </c>
      <c r="C327" s="49" t="s">
        <v>327</v>
      </c>
      <c r="D327" s="95" t="s">
        <v>328</v>
      </c>
      <c r="E327" s="6" t="s">
        <v>764</v>
      </c>
      <c r="F327" s="51"/>
      <c r="G327" s="52"/>
      <c r="H327" s="51"/>
      <c r="I327" s="30">
        <f>2975437+2950000</f>
        <v>5925437</v>
      </c>
    </row>
    <row r="328" spans="1:9" s="53" customFormat="1" ht="15">
      <c r="A328" s="49" t="s">
        <v>329</v>
      </c>
      <c r="B328" s="49" t="s">
        <v>635</v>
      </c>
      <c r="C328" s="49"/>
      <c r="D328" s="66" t="s">
        <v>611</v>
      </c>
      <c r="E328" s="80"/>
      <c r="F328" s="51"/>
      <c r="G328" s="52"/>
      <c r="H328" s="51"/>
      <c r="I328" s="30">
        <f>I329</f>
        <v>21973086</v>
      </c>
    </row>
    <row r="329" spans="1:9" s="57" customFormat="1" ht="33.75" customHeight="1">
      <c r="A329" s="54" t="s">
        <v>330</v>
      </c>
      <c r="B329" s="54" t="s">
        <v>331</v>
      </c>
      <c r="C329" s="54" t="s">
        <v>761</v>
      </c>
      <c r="D329" s="94" t="s">
        <v>332</v>
      </c>
      <c r="E329" s="9" t="s">
        <v>764</v>
      </c>
      <c r="F329" s="55"/>
      <c r="G329" s="56"/>
      <c r="H329" s="55"/>
      <c r="I329" s="31">
        <f>15817086+4500000+1656000</f>
        <v>21973086</v>
      </c>
    </row>
    <row r="330" spans="1:9" s="53" customFormat="1" ht="15">
      <c r="A330" s="49" t="s">
        <v>333</v>
      </c>
      <c r="B330" s="50" t="s">
        <v>334</v>
      </c>
      <c r="C330" s="58"/>
      <c r="D330" s="66" t="s">
        <v>335</v>
      </c>
      <c r="E330" s="6" t="s">
        <v>764</v>
      </c>
      <c r="F330" s="51"/>
      <c r="G330" s="52"/>
      <c r="H330" s="51"/>
      <c r="I330" s="30">
        <f>I331</f>
        <v>700000</v>
      </c>
    </row>
    <row r="331" spans="1:9" s="57" customFormat="1" ht="19.5" customHeight="1">
      <c r="A331" s="54" t="s">
        <v>336</v>
      </c>
      <c r="B331" s="54" t="s">
        <v>337</v>
      </c>
      <c r="C331" s="54" t="s">
        <v>761</v>
      </c>
      <c r="D331" s="94" t="s">
        <v>338</v>
      </c>
      <c r="E331" s="9" t="s">
        <v>764</v>
      </c>
      <c r="F331" s="55"/>
      <c r="G331" s="56"/>
      <c r="H331" s="55"/>
      <c r="I331" s="31">
        <v>700000</v>
      </c>
    </row>
    <row r="332" spans="1:9" s="53" customFormat="1" ht="33.75" customHeight="1">
      <c r="A332" s="50" t="s">
        <v>339</v>
      </c>
      <c r="B332" s="50" t="s">
        <v>340</v>
      </c>
      <c r="C332" s="58"/>
      <c r="D332" s="66" t="s">
        <v>341</v>
      </c>
      <c r="E332" s="80"/>
      <c r="F332" s="51"/>
      <c r="G332" s="52"/>
      <c r="H332" s="51"/>
      <c r="I332" s="30">
        <f>I333</f>
        <v>100000</v>
      </c>
    </row>
    <row r="333" spans="1:9" s="57" customFormat="1" ht="33.75" customHeight="1">
      <c r="A333" s="54" t="s">
        <v>295</v>
      </c>
      <c r="B333" s="54" t="s">
        <v>296</v>
      </c>
      <c r="C333" s="54" t="s">
        <v>297</v>
      </c>
      <c r="D333" s="94" t="s">
        <v>414</v>
      </c>
      <c r="E333" s="9" t="s">
        <v>764</v>
      </c>
      <c r="F333" s="55"/>
      <c r="G333" s="56"/>
      <c r="H333" s="55"/>
      <c r="I333" s="31">
        <v>100000</v>
      </c>
    </row>
    <row r="334" spans="1:9" s="34" customFormat="1" ht="21.75" customHeight="1">
      <c r="A334" s="50" t="s">
        <v>344</v>
      </c>
      <c r="B334" s="50" t="s">
        <v>260</v>
      </c>
      <c r="C334" s="50" t="s">
        <v>518</v>
      </c>
      <c r="D334" s="66" t="s">
        <v>519</v>
      </c>
      <c r="E334" s="6"/>
      <c r="F334" s="18"/>
      <c r="G334" s="41"/>
      <c r="H334" s="18"/>
      <c r="I334" s="30">
        <f>I336+I338+I339</f>
        <v>41247321</v>
      </c>
    </row>
    <row r="335" spans="1:9" s="53" customFormat="1" ht="15">
      <c r="A335" s="90"/>
      <c r="B335" s="90"/>
      <c r="C335" s="58"/>
      <c r="D335" s="142"/>
      <c r="E335" s="59" t="s">
        <v>521</v>
      </c>
      <c r="F335" s="18"/>
      <c r="G335" s="41"/>
      <c r="H335" s="18"/>
      <c r="I335" s="30"/>
    </row>
    <row r="336" spans="1:9" s="53" customFormat="1" ht="46.5" customHeight="1">
      <c r="A336" s="90"/>
      <c r="B336" s="90"/>
      <c r="C336" s="58"/>
      <c r="D336" s="142"/>
      <c r="E336" s="6" t="s">
        <v>204</v>
      </c>
      <c r="F336" s="18">
        <v>29420723</v>
      </c>
      <c r="G336" s="124">
        <v>5.4</v>
      </c>
      <c r="H336" s="125">
        <v>1588285</v>
      </c>
      <c r="I336" s="30">
        <v>20647321</v>
      </c>
    </row>
    <row r="337" spans="1:9" s="57" customFormat="1" ht="15">
      <c r="A337" s="54"/>
      <c r="B337" s="46"/>
      <c r="C337" s="46"/>
      <c r="D337" s="94"/>
      <c r="E337" s="94" t="s">
        <v>237</v>
      </c>
      <c r="F337" s="55"/>
      <c r="G337" s="56"/>
      <c r="H337" s="55"/>
      <c r="I337" s="31">
        <v>347321</v>
      </c>
    </row>
    <row r="338" spans="1:9" s="57" customFormat="1" ht="50.25" customHeight="1">
      <c r="A338" s="54"/>
      <c r="B338" s="46"/>
      <c r="C338" s="46"/>
      <c r="D338" s="94"/>
      <c r="E338" s="95" t="s">
        <v>206</v>
      </c>
      <c r="F338" s="18">
        <v>200000</v>
      </c>
      <c r="G338" s="41">
        <v>0</v>
      </c>
      <c r="H338" s="18">
        <v>0</v>
      </c>
      <c r="I338" s="30">
        <v>200000</v>
      </c>
    </row>
    <row r="339" spans="1:9" s="57" customFormat="1" ht="45">
      <c r="A339" s="54"/>
      <c r="B339" s="46"/>
      <c r="C339" s="46"/>
      <c r="D339" s="94"/>
      <c r="E339" s="95" t="s">
        <v>118</v>
      </c>
      <c r="F339" s="18">
        <v>20998804</v>
      </c>
      <c r="G339" s="41">
        <v>2.851610025028092</v>
      </c>
      <c r="H339" s="18">
        <v>598804</v>
      </c>
      <c r="I339" s="30">
        <v>20400000</v>
      </c>
    </row>
    <row r="340" spans="1:9" s="53" customFormat="1" ht="15">
      <c r="A340" s="49" t="s">
        <v>791</v>
      </c>
      <c r="B340" s="50" t="s">
        <v>792</v>
      </c>
      <c r="C340" s="50"/>
      <c r="D340" s="95" t="s">
        <v>793</v>
      </c>
      <c r="E340" s="95"/>
      <c r="F340" s="18"/>
      <c r="G340" s="41"/>
      <c r="H340" s="18"/>
      <c r="I340" s="30">
        <f>I341</f>
        <v>326165</v>
      </c>
    </row>
    <row r="341" spans="1:9" s="57" customFormat="1" ht="60">
      <c r="A341" s="54" t="s">
        <v>794</v>
      </c>
      <c r="B341" s="46" t="s">
        <v>795</v>
      </c>
      <c r="C341" s="46" t="s">
        <v>796</v>
      </c>
      <c r="D341" s="94" t="s">
        <v>495</v>
      </c>
      <c r="E341" s="95"/>
      <c r="F341" s="18"/>
      <c r="G341" s="41"/>
      <c r="H341" s="18"/>
      <c r="I341" s="30">
        <f>I343+I345+I347+I349+I351</f>
        <v>326165</v>
      </c>
    </row>
    <row r="342" spans="1:9" s="57" customFormat="1" ht="15">
      <c r="A342" s="54"/>
      <c r="B342" s="46"/>
      <c r="C342" s="46"/>
      <c r="D342" s="94"/>
      <c r="E342" s="112" t="s">
        <v>496</v>
      </c>
      <c r="F342" s="18"/>
      <c r="G342" s="41"/>
      <c r="H342" s="18"/>
      <c r="I342" s="30"/>
    </row>
    <row r="343" spans="1:9" s="57" customFormat="1" ht="30">
      <c r="A343" s="54"/>
      <c r="B343" s="46"/>
      <c r="C343" s="46"/>
      <c r="D343" s="94"/>
      <c r="E343" s="95" t="s">
        <v>497</v>
      </c>
      <c r="F343" s="18">
        <v>300000</v>
      </c>
      <c r="G343" s="41">
        <v>71.27833333333334</v>
      </c>
      <c r="H343" s="18">
        <v>213835</v>
      </c>
      <c r="I343" s="30">
        <v>86165</v>
      </c>
    </row>
    <row r="344" spans="1:9" s="57" customFormat="1" ht="15">
      <c r="A344" s="54"/>
      <c r="B344" s="46"/>
      <c r="C344" s="46"/>
      <c r="D344" s="94"/>
      <c r="E344" s="112" t="s">
        <v>578</v>
      </c>
      <c r="F344" s="18"/>
      <c r="G344" s="41"/>
      <c r="H344" s="18"/>
      <c r="I344" s="30"/>
    </row>
    <row r="345" spans="1:9" s="57" customFormat="1" ht="30">
      <c r="A345" s="54"/>
      <c r="B345" s="46"/>
      <c r="C345" s="46"/>
      <c r="D345" s="94"/>
      <c r="E345" s="95" t="s">
        <v>498</v>
      </c>
      <c r="F345" s="18">
        <v>300000</v>
      </c>
      <c r="G345" s="41">
        <v>80</v>
      </c>
      <c r="H345" s="18">
        <v>240000</v>
      </c>
      <c r="I345" s="30">
        <v>60000</v>
      </c>
    </row>
    <row r="346" spans="1:9" s="57" customFormat="1" ht="15">
      <c r="A346" s="54"/>
      <c r="B346" s="46"/>
      <c r="C346" s="46"/>
      <c r="D346" s="94"/>
      <c r="E346" s="112" t="s">
        <v>410</v>
      </c>
      <c r="F346" s="18"/>
      <c r="G346" s="41"/>
      <c r="H346" s="18"/>
      <c r="I346" s="30"/>
    </row>
    <row r="347" spans="1:9" s="57" customFormat="1" ht="30">
      <c r="A347" s="54"/>
      <c r="B347" s="46"/>
      <c r="C347" s="46"/>
      <c r="D347" s="94"/>
      <c r="E347" s="95" t="s">
        <v>499</v>
      </c>
      <c r="F347" s="18">
        <v>300000</v>
      </c>
      <c r="G347" s="41">
        <v>80</v>
      </c>
      <c r="H347" s="18">
        <v>240000</v>
      </c>
      <c r="I347" s="30">
        <v>60000</v>
      </c>
    </row>
    <row r="348" spans="1:9" s="57" customFormat="1" ht="15">
      <c r="A348" s="54"/>
      <c r="B348" s="46"/>
      <c r="C348" s="46"/>
      <c r="D348" s="94"/>
      <c r="E348" s="112" t="s">
        <v>542</v>
      </c>
      <c r="F348" s="18"/>
      <c r="G348" s="41"/>
      <c r="H348" s="18"/>
      <c r="I348" s="30"/>
    </row>
    <row r="349" spans="1:9" s="57" customFormat="1" ht="30">
      <c r="A349" s="54"/>
      <c r="B349" s="46"/>
      <c r="C349" s="46"/>
      <c r="D349" s="94"/>
      <c r="E349" s="95" t="s">
        <v>500</v>
      </c>
      <c r="F349" s="18">
        <v>300000</v>
      </c>
      <c r="G349" s="41">
        <v>80</v>
      </c>
      <c r="H349" s="18">
        <v>240000</v>
      </c>
      <c r="I349" s="30">
        <v>60000</v>
      </c>
    </row>
    <row r="350" spans="1:9" s="57" customFormat="1" ht="15">
      <c r="A350" s="54"/>
      <c r="B350" s="46"/>
      <c r="C350" s="46"/>
      <c r="D350" s="94"/>
      <c r="E350" s="112" t="s">
        <v>465</v>
      </c>
      <c r="F350" s="18"/>
      <c r="G350" s="41"/>
      <c r="H350" s="18"/>
      <c r="I350" s="30"/>
    </row>
    <row r="351" spans="1:9" s="57" customFormat="1" ht="30">
      <c r="A351" s="54"/>
      <c r="B351" s="46"/>
      <c r="C351" s="46"/>
      <c r="D351" s="94"/>
      <c r="E351" s="95" t="s">
        <v>501</v>
      </c>
      <c r="F351" s="18">
        <v>300000</v>
      </c>
      <c r="G351" s="41">
        <v>80</v>
      </c>
      <c r="H351" s="18">
        <v>240000</v>
      </c>
      <c r="I351" s="30">
        <v>60000</v>
      </c>
    </row>
    <row r="352" spans="1:9" s="34" customFormat="1" ht="18" customHeight="1">
      <c r="A352" s="50" t="s">
        <v>646</v>
      </c>
      <c r="B352" s="50" t="s">
        <v>645</v>
      </c>
      <c r="C352" s="50"/>
      <c r="D352" s="66" t="s">
        <v>424</v>
      </c>
      <c r="E352" s="6"/>
      <c r="F352" s="18"/>
      <c r="G352" s="41"/>
      <c r="H352" s="18"/>
      <c r="I352" s="30">
        <f>I353+I475+I504+I509+I516</f>
        <v>879180674</v>
      </c>
    </row>
    <row r="353" spans="1:9" s="47" customFormat="1" ht="18" customHeight="1">
      <c r="A353" s="46" t="s">
        <v>345</v>
      </c>
      <c r="B353" s="46" t="s">
        <v>346</v>
      </c>
      <c r="C353" s="46" t="s">
        <v>609</v>
      </c>
      <c r="D353" s="122" t="s">
        <v>350</v>
      </c>
      <c r="E353" s="9"/>
      <c r="F353" s="22"/>
      <c r="G353" s="40"/>
      <c r="H353" s="22"/>
      <c r="I353" s="31">
        <f>SUM(I355:I474)-I435-I401</f>
        <v>508293601</v>
      </c>
    </row>
    <row r="354" spans="1:9" s="47" customFormat="1" ht="15">
      <c r="A354" s="46"/>
      <c r="B354" s="46"/>
      <c r="C354" s="46"/>
      <c r="D354" s="122"/>
      <c r="E354" s="59" t="s">
        <v>521</v>
      </c>
      <c r="F354" s="22"/>
      <c r="G354" s="40"/>
      <c r="H354" s="22"/>
      <c r="I354" s="31"/>
    </row>
    <row r="355" spans="1:9" s="47" customFormat="1" ht="30">
      <c r="A355" s="46"/>
      <c r="B355" s="46"/>
      <c r="C355" s="46"/>
      <c r="D355" s="122"/>
      <c r="E355" s="96" t="s">
        <v>119</v>
      </c>
      <c r="F355" s="18">
        <v>80000000</v>
      </c>
      <c r="G355" s="124">
        <v>97.81452125</v>
      </c>
      <c r="H355" s="125">
        <v>78251617</v>
      </c>
      <c r="I355" s="30">
        <v>485001</v>
      </c>
    </row>
    <row r="356" spans="1:9" s="47" customFormat="1" ht="45">
      <c r="A356" s="46"/>
      <c r="B356" s="46"/>
      <c r="C356" s="46"/>
      <c r="D356" s="122"/>
      <c r="E356" s="6" t="s">
        <v>205</v>
      </c>
      <c r="F356" s="18">
        <v>76569705</v>
      </c>
      <c r="G356" s="124">
        <v>98.1</v>
      </c>
      <c r="H356" s="125">
        <v>75109704</v>
      </c>
      <c r="I356" s="30">
        <v>1128536</v>
      </c>
    </row>
    <row r="357" spans="1:9" s="47" customFormat="1" ht="45">
      <c r="A357" s="46"/>
      <c r="B357" s="46"/>
      <c r="C357" s="46"/>
      <c r="D357" s="122"/>
      <c r="E357" s="6" t="s">
        <v>120</v>
      </c>
      <c r="F357" s="18">
        <v>29571598</v>
      </c>
      <c r="G357" s="124">
        <v>8.4</v>
      </c>
      <c r="H357" s="125">
        <v>2484368</v>
      </c>
      <c r="I357" s="30">
        <f>17717354+4991000</f>
        <v>22708354</v>
      </c>
    </row>
    <row r="358" spans="1:9" s="47" customFormat="1" ht="30">
      <c r="A358" s="46"/>
      <c r="B358" s="46"/>
      <c r="C358" s="46"/>
      <c r="D358" s="122"/>
      <c r="E358" s="6" t="s">
        <v>417</v>
      </c>
      <c r="F358" s="18">
        <v>12935244</v>
      </c>
      <c r="G358" s="124">
        <v>5.1</v>
      </c>
      <c r="H358" s="125">
        <v>657561</v>
      </c>
      <c r="I358" s="30">
        <f>4283000+7835000</f>
        <v>12118000</v>
      </c>
    </row>
    <row r="359" spans="1:9" s="47" customFormat="1" ht="28.5" customHeight="1">
      <c r="A359" s="46"/>
      <c r="B359" s="46"/>
      <c r="C359" s="46"/>
      <c r="D359" s="122"/>
      <c r="E359" s="6" t="s">
        <v>121</v>
      </c>
      <c r="F359" s="18">
        <v>50000000</v>
      </c>
      <c r="G359" s="124">
        <v>74.4</v>
      </c>
      <c r="H359" s="125">
        <v>37176782</v>
      </c>
      <c r="I359" s="30">
        <f>2244000+10000000</f>
        <v>12244000</v>
      </c>
    </row>
    <row r="360" spans="1:9" s="47" customFormat="1" ht="30">
      <c r="A360" s="46"/>
      <c r="B360" s="46"/>
      <c r="C360" s="46"/>
      <c r="D360" s="122"/>
      <c r="E360" s="6" t="s">
        <v>122</v>
      </c>
      <c r="F360" s="18">
        <v>50000000</v>
      </c>
      <c r="G360" s="124">
        <v>69.7</v>
      </c>
      <c r="H360" s="125">
        <v>34842000</v>
      </c>
      <c r="I360" s="30">
        <f>4708000+10000000</f>
        <v>14708000</v>
      </c>
    </row>
    <row r="361" spans="1:9" s="47" customFormat="1" ht="60">
      <c r="A361" s="46"/>
      <c r="B361" s="46"/>
      <c r="C361" s="46"/>
      <c r="D361" s="122"/>
      <c r="E361" s="6" t="s">
        <v>123</v>
      </c>
      <c r="F361" s="18">
        <v>470000</v>
      </c>
      <c r="G361" s="124"/>
      <c r="H361" s="125"/>
      <c r="I361" s="30">
        <f>100000+370000</f>
        <v>470000</v>
      </c>
    </row>
    <row r="362" spans="1:9" s="47" customFormat="1" ht="15">
      <c r="A362" s="46"/>
      <c r="B362" s="46"/>
      <c r="C362" s="46"/>
      <c r="D362" s="122"/>
      <c r="E362" s="59" t="s">
        <v>351</v>
      </c>
      <c r="F362" s="18"/>
      <c r="G362" s="124"/>
      <c r="H362" s="125"/>
      <c r="I362" s="30"/>
    </row>
    <row r="363" spans="1:9" s="47" customFormat="1" ht="45">
      <c r="A363" s="46"/>
      <c r="B363" s="46"/>
      <c r="C363" s="46"/>
      <c r="D363" s="122"/>
      <c r="E363" s="6" t="s">
        <v>207</v>
      </c>
      <c r="F363" s="18">
        <v>14591711</v>
      </c>
      <c r="G363" s="124">
        <v>30.505209430203216</v>
      </c>
      <c r="H363" s="125">
        <v>4451232</v>
      </c>
      <c r="I363" s="30">
        <v>10003000</v>
      </c>
    </row>
    <row r="364" spans="1:9" s="47" customFormat="1" ht="15">
      <c r="A364" s="46"/>
      <c r="B364" s="46"/>
      <c r="C364" s="46"/>
      <c r="D364" s="122"/>
      <c r="E364" s="59" t="s">
        <v>352</v>
      </c>
      <c r="F364" s="18"/>
      <c r="G364" s="124"/>
      <c r="H364" s="125"/>
      <c r="I364" s="30"/>
    </row>
    <row r="365" spans="1:9" s="47" customFormat="1" ht="90">
      <c r="A365" s="46"/>
      <c r="B365" s="46"/>
      <c r="C365" s="46"/>
      <c r="D365" s="122"/>
      <c r="E365" s="6" t="s">
        <v>208</v>
      </c>
      <c r="F365" s="18">
        <v>14569228</v>
      </c>
      <c r="G365" s="124"/>
      <c r="H365" s="125"/>
      <c r="I365" s="30">
        <v>5921910</v>
      </c>
    </row>
    <row r="366" spans="1:9" s="47" customFormat="1" ht="75">
      <c r="A366" s="46"/>
      <c r="B366" s="46"/>
      <c r="C366" s="46"/>
      <c r="D366" s="122"/>
      <c r="E366" s="6" t="s">
        <v>209</v>
      </c>
      <c r="F366" s="18">
        <v>57367187</v>
      </c>
      <c r="G366" s="124">
        <v>35.7</v>
      </c>
      <c r="H366" s="125">
        <v>20496650</v>
      </c>
      <c r="I366" s="30">
        <f>17700000+10000000</f>
        <v>27700000</v>
      </c>
    </row>
    <row r="367" spans="1:9" s="47" customFormat="1" ht="45">
      <c r="A367" s="46"/>
      <c r="B367" s="46"/>
      <c r="C367" s="46"/>
      <c r="D367" s="122"/>
      <c r="E367" s="6" t="s">
        <v>124</v>
      </c>
      <c r="F367" s="18">
        <v>30000000</v>
      </c>
      <c r="G367" s="124">
        <v>98.3</v>
      </c>
      <c r="H367" s="125">
        <v>29500000</v>
      </c>
      <c r="I367" s="30">
        <v>500000</v>
      </c>
    </row>
    <row r="368" spans="1:9" s="47" customFormat="1" ht="45">
      <c r="A368" s="46"/>
      <c r="B368" s="46"/>
      <c r="C368" s="46"/>
      <c r="D368" s="122"/>
      <c r="E368" s="6" t="s">
        <v>661</v>
      </c>
      <c r="F368" s="18">
        <v>5428641</v>
      </c>
      <c r="G368" s="124"/>
      <c r="H368" s="125"/>
      <c r="I368" s="30">
        <v>198054</v>
      </c>
    </row>
    <row r="369" spans="1:9" s="47" customFormat="1" ht="15">
      <c r="A369" s="46"/>
      <c r="B369" s="46"/>
      <c r="C369" s="46"/>
      <c r="D369" s="122"/>
      <c r="E369" s="80" t="s">
        <v>522</v>
      </c>
      <c r="F369" s="18"/>
      <c r="G369" s="124"/>
      <c r="H369" s="125"/>
      <c r="I369" s="30"/>
    </row>
    <row r="370" spans="1:9" s="47" customFormat="1" ht="30.75" customHeight="1">
      <c r="A370" s="46"/>
      <c r="B370" s="46"/>
      <c r="C370" s="46"/>
      <c r="D370" s="122"/>
      <c r="E370" s="6" t="s">
        <v>125</v>
      </c>
      <c r="F370" s="18">
        <v>38863367</v>
      </c>
      <c r="G370" s="124"/>
      <c r="H370" s="125"/>
      <c r="I370" s="30">
        <v>8106</v>
      </c>
    </row>
    <row r="371" spans="1:9" s="47" customFormat="1" ht="15">
      <c r="A371" s="46"/>
      <c r="B371" s="46"/>
      <c r="C371" s="46"/>
      <c r="D371" s="122"/>
      <c r="E371" s="59" t="s">
        <v>523</v>
      </c>
      <c r="F371" s="18"/>
      <c r="G371" s="124"/>
      <c r="H371" s="125"/>
      <c r="I371" s="30"/>
    </row>
    <row r="372" spans="1:9" s="47" customFormat="1" ht="30">
      <c r="A372" s="46"/>
      <c r="B372" s="46"/>
      <c r="C372" s="46"/>
      <c r="D372" s="122"/>
      <c r="E372" s="6" t="s">
        <v>126</v>
      </c>
      <c r="F372" s="18">
        <v>35073174</v>
      </c>
      <c r="G372" s="124">
        <v>96.4</v>
      </c>
      <c r="H372" s="125">
        <v>33812785</v>
      </c>
      <c r="I372" s="30">
        <v>100000</v>
      </c>
    </row>
    <row r="373" spans="1:9" s="47" customFormat="1" ht="60">
      <c r="A373" s="46"/>
      <c r="B373" s="46"/>
      <c r="C373" s="46"/>
      <c r="D373" s="122"/>
      <c r="E373" s="6" t="s">
        <v>55</v>
      </c>
      <c r="F373" s="18">
        <v>58792790</v>
      </c>
      <c r="G373" s="124">
        <v>99</v>
      </c>
      <c r="H373" s="125">
        <v>58206345</v>
      </c>
      <c r="I373" s="30">
        <v>100000</v>
      </c>
    </row>
    <row r="374" spans="1:9" s="47" customFormat="1" ht="31.5" customHeight="1">
      <c r="A374" s="46"/>
      <c r="B374" s="46"/>
      <c r="C374" s="46"/>
      <c r="D374" s="122"/>
      <c r="E374" s="6" t="s">
        <v>418</v>
      </c>
      <c r="F374" s="18">
        <v>9400000</v>
      </c>
      <c r="G374" s="124"/>
      <c r="H374" s="125"/>
      <c r="I374" s="30">
        <f>3700000+5700000</f>
        <v>9400000</v>
      </c>
    </row>
    <row r="375" spans="1:9" s="47" customFormat="1" ht="30">
      <c r="A375" s="46"/>
      <c r="B375" s="46"/>
      <c r="C375" s="46"/>
      <c r="D375" s="122"/>
      <c r="E375" s="6" t="s">
        <v>419</v>
      </c>
      <c r="F375" s="18">
        <v>13828996</v>
      </c>
      <c r="G375" s="124">
        <v>98.1</v>
      </c>
      <c r="H375" s="125">
        <v>13563198</v>
      </c>
      <c r="I375" s="30">
        <f>3265798-3000000</f>
        <v>265798</v>
      </c>
    </row>
    <row r="376" spans="1:9" s="47" customFormat="1" ht="15">
      <c r="A376" s="46"/>
      <c r="B376" s="46"/>
      <c r="C376" s="46"/>
      <c r="D376" s="122"/>
      <c r="E376" s="59" t="s">
        <v>356</v>
      </c>
      <c r="F376" s="18"/>
      <c r="G376" s="124"/>
      <c r="H376" s="125"/>
      <c r="I376" s="30"/>
    </row>
    <row r="377" spans="1:9" s="47" customFormat="1" ht="45">
      <c r="A377" s="46"/>
      <c r="B377" s="46"/>
      <c r="C377" s="46"/>
      <c r="D377" s="122"/>
      <c r="E377" s="6" t="s">
        <v>455</v>
      </c>
      <c r="F377" s="18">
        <v>65798399</v>
      </c>
      <c r="G377" s="124">
        <v>99</v>
      </c>
      <c r="H377" s="125">
        <v>65112565</v>
      </c>
      <c r="I377" s="30">
        <v>100000</v>
      </c>
    </row>
    <row r="378" spans="1:9" s="47" customFormat="1" ht="34.5" customHeight="1">
      <c r="A378" s="46"/>
      <c r="B378" s="46"/>
      <c r="C378" s="46"/>
      <c r="D378" s="122"/>
      <c r="E378" s="6" t="s">
        <v>127</v>
      </c>
      <c r="F378" s="18">
        <v>59535884</v>
      </c>
      <c r="G378" s="124">
        <v>97.64289214215749</v>
      </c>
      <c r="H378" s="125">
        <v>58132559</v>
      </c>
      <c r="I378" s="30">
        <v>100000</v>
      </c>
    </row>
    <row r="379" spans="1:9" s="47" customFormat="1" ht="33.75" customHeight="1">
      <c r="A379" s="46"/>
      <c r="B379" s="46"/>
      <c r="C379" s="46"/>
      <c r="D379" s="122"/>
      <c r="E379" s="6" t="s">
        <v>210</v>
      </c>
      <c r="F379" s="18">
        <v>57271324</v>
      </c>
      <c r="G379" s="124">
        <v>82.2</v>
      </c>
      <c r="H379" s="125">
        <v>47063818</v>
      </c>
      <c r="I379" s="30">
        <v>9482000</v>
      </c>
    </row>
    <row r="380" spans="1:9" s="47" customFormat="1" ht="57.75" customHeight="1">
      <c r="A380" s="46"/>
      <c r="B380" s="46"/>
      <c r="C380" s="46"/>
      <c r="D380" s="122"/>
      <c r="E380" s="6" t="s">
        <v>128</v>
      </c>
      <c r="F380" s="18">
        <v>5666054</v>
      </c>
      <c r="G380" s="124">
        <v>95.4</v>
      </c>
      <c r="H380" s="125">
        <v>5406846</v>
      </c>
      <c r="I380" s="30">
        <v>100000</v>
      </c>
    </row>
    <row r="381" spans="1:9" s="47" customFormat="1" ht="49.5" customHeight="1">
      <c r="A381" s="46"/>
      <c r="B381" s="46"/>
      <c r="C381" s="46"/>
      <c r="D381" s="122"/>
      <c r="E381" s="6" t="s">
        <v>11</v>
      </c>
      <c r="F381" s="18">
        <v>6112785</v>
      </c>
      <c r="G381" s="124">
        <v>95.3</v>
      </c>
      <c r="H381" s="125">
        <v>5827551</v>
      </c>
      <c r="I381" s="30">
        <v>163379</v>
      </c>
    </row>
    <row r="382" spans="1:9" s="47" customFormat="1" ht="60">
      <c r="A382" s="46"/>
      <c r="B382" s="46"/>
      <c r="C382" s="46"/>
      <c r="D382" s="122"/>
      <c r="E382" s="96" t="s">
        <v>12</v>
      </c>
      <c r="F382" s="18">
        <v>6406120</v>
      </c>
      <c r="G382" s="124">
        <v>95.13549543249268</v>
      </c>
      <c r="H382" s="125">
        <v>6094494</v>
      </c>
      <c r="I382" s="30">
        <v>156434</v>
      </c>
    </row>
    <row r="383" spans="1:9" s="47" customFormat="1" ht="60.75" customHeight="1">
      <c r="A383" s="46"/>
      <c r="B383" s="46"/>
      <c r="C383" s="46"/>
      <c r="D383" s="122"/>
      <c r="E383" s="6" t="s">
        <v>13</v>
      </c>
      <c r="F383" s="18">
        <v>13345696</v>
      </c>
      <c r="G383" s="124">
        <v>96.2</v>
      </c>
      <c r="H383" s="125">
        <v>12837410</v>
      </c>
      <c r="I383" s="30">
        <v>354416</v>
      </c>
    </row>
    <row r="384" spans="1:9" s="47" customFormat="1" ht="15">
      <c r="A384" s="46"/>
      <c r="B384" s="46"/>
      <c r="C384" s="46"/>
      <c r="D384" s="122"/>
      <c r="E384" s="59" t="s">
        <v>357</v>
      </c>
      <c r="F384" s="18"/>
      <c r="G384" s="124"/>
      <c r="H384" s="125"/>
      <c r="I384" s="30"/>
    </row>
    <row r="385" spans="1:9" s="47" customFormat="1" ht="45">
      <c r="A385" s="46"/>
      <c r="B385" s="46"/>
      <c r="C385" s="46"/>
      <c r="D385" s="122"/>
      <c r="E385" s="6" t="s">
        <v>436</v>
      </c>
      <c r="F385" s="18">
        <v>25889130</v>
      </c>
      <c r="G385" s="124">
        <v>5</v>
      </c>
      <c r="H385" s="125">
        <v>1287970</v>
      </c>
      <c r="I385" s="30">
        <v>3869970</v>
      </c>
    </row>
    <row r="386" spans="1:9" s="47" customFormat="1" ht="30">
      <c r="A386" s="46"/>
      <c r="B386" s="46"/>
      <c r="C386" s="46"/>
      <c r="D386" s="122"/>
      <c r="E386" s="6" t="s">
        <v>14</v>
      </c>
      <c r="F386" s="18">
        <v>500000</v>
      </c>
      <c r="G386" s="124">
        <v>0</v>
      </c>
      <c r="H386" s="125">
        <v>0</v>
      </c>
      <c r="I386" s="30">
        <v>500000</v>
      </c>
    </row>
    <row r="387" spans="1:9" s="47" customFormat="1" ht="15">
      <c r="A387" s="46"/>
      <c r="B387" s="46"/>
      <c r="C387" s="46"/>
      <c r="D387" s="122"/>
      <c r="E387" s="59" t="s">
        <v>461</v>
      </c>
      <c r="F387" s="18"/>
      <c r="G387" s="124"/>
      <c r="H387" s="125"/>
      <c r="I387" s="30"/>
    </row>
    <row r="388" spans="1:9" s="47" customFormat="1" ht="45">
      <c r="A388" s="46"/>
      <c r="B388" s="46"/>
      <c r="C388" s="46"/>
      <c r="D388" s="122"/>
      <c r="E388" s="6" t="s">
        <v>129</v>
      </c>
      <c r="F388" s="18">
        <v>38895689</v>
      </c>
      <c r="G388" s="124">
        <v>90.7</v>
      </c>
      <c r="H388" s="125">
        <v>35292039</v>
      </c>
      <c r="I388" s="30">
        <v>2166461</v>
      </c>
    </row>
    <row r="389" spans="1:9" s="47" customFormat="1" ht="15">
      <c r="A389" s="46"/>
      <c r="B389" s="46"/>
      <c r="C389" s="46"/>
      <c r="D389" s="122"/>
      <c r="E389" s="59" t="s">
        <v>510</v>
      </c>
      <c r="F389" s="18"/>
      <c r="G389" s="124"/>
      <c r="H389" s="125"/>
      <c r="I389" s="30"/>
    </row>
    <row r="390" spans="1:9" s="47" customFormat="1" ht="15">
      <c r="A390" s="46"/>
      <c r="B390" s="46"/>
      <c r="C390" s="46"/>
      <c r="D390" s="122"/>
      <c r="E390" s="6" t="s">
        <v>654</v>
      </c>
      <c r="F390" s="18">
        <v>46760114</v>
      </c>
      <c r="G390" s="124">
        <v>76.2</v>
      </c>
      <c r="H390" s="125">
        <v>35642277</v>
      </c>
      <c r="I390" s="30">
        <v>10000000</v>
      </c>
    </row>
    <row r="391" spans="1:9" s="47" customFormat="1" ht="30">
      <c r="A391" s="46"/>
      <c r="B391" s="46"/>
      <c r="C391" s="46"/>
      <c r="D391" s="122"/>
      <c r="E391" s="6" t="s">
        <v>655</v>
      </c>
      <c r="F391" s="18">
        <v>11336124</v>
      </c>
      <c r="G391" s="124">
        <v>96.56644546231146</v>
      </c>
      <c r="H391" s="125">
        <v>10946892</v>
      </c>
      <c r="I391" s="30">
        <v>250000</v>
      </c>
    </row>
    <row r="392" spans="1:9" s="47" customFormat="1" ht="56.25" customHeight="1">
      <c r="A392" s="46"/>
      <c r="B392" s="46"/>
      <c r="C392" s="46"/>
      <c r="D392" s="122"/>
      <c r="E392" s="6" t="s">
        <v>15</v>
      </c>
      <c r="F392" s="18">
        <v>58432816</v>
      </c>
      <c r="G392" s="124">
        <v>97.7</v>
      </c>
      <c r="H392" s="125">
        <v>57061274</v>
      </c>
      <c r="I392" s="30">
        <v>100000</v>
      </c>
    </row>
    <row r="393" spans="1:9" s="47" customFormat="1" ht="75">
      <c r="A393" s="46"/>
      <c r="B393" s="46"/>
      <c r="C393" s="46"/>
      <c r="D393" s="122"/>
      <c r="E393" s="6" t="s">
        <v>16</v>
      </c>
      <c r="F393" s="18">
        <v>16308258</v>
      </c>
      <c r="G393" s="124">
        <v>98.4</v>
      </c>
      <c r="H393" s="125">
        <v>16041290</v>
      </c>
      <c r="I393" s="30">
        <v>100000</v>
      </c>
    </row>
    <row r="394" spans="1:9" s="47" customFormat="1" ht="15">
      <c r="A394" s="46"/>
      <c r="B394" s="46"/>
      <c r="C394" s="46"/>
      <c r="D394" s="122"/>
      <c r="E394" s="6" t="s">
        <v>656</v>
      </c>
      <c r="F394" s="18">
        <v>50314960</v>
      </c>
      <c r="G394" s="124">
        <v>77.1</v>
      </c>
      <c r="H394" s="125">
        <v>38783337</v>
      </c>
      <c r="I394" s="30">
        <f>7700000+3370000</f>
        <v>11070000</v>
      </c>
    </row>
    <row r="395" spans="1:9" s="47" customFormat="1" ht="60">
      <c r="A395" s="46"/>
      <c r="B395" s="46"/>
      <c r="C395" s="46"/>
      <c r="D395" s="122"/>
      <c r="E395" s="6" t="s">
        <v>359</v>
      </c>
      <c r="F395" s="18">
        <v>12725326</v>
      </c>
      <c r="G395" s="124">
        <v>96.8</v>
      </c>
      <c r="H395" s="125">
        <v>12323107</v>
      </c>
      <c r="I395" s="30">
        <v>200000</v>
      </c>
    </row>
    <row r="396" spans="1:9" s="47" customFormat="1" ht="15">
      <c r="A396" s="46"/>
      <c r="B396" s="46"/>
      <c r="C396" s="46"/>
      <c r="D396" s="122"/>
      <c r="E396" s="59" t="s">
        <v>511</v>
      </c>
      <c r="F396" s="18"/>
      <c r="G396" s="124"/>
      <c r="H396" s="125"/>
      <c r="I396" s="30"/>
    </row>
    <row r="397" spans="1:9" s="47" customFormat="1" ht="45">
      <c r="A397" s="46"/>
      <c r="B397" s="46"/>
      <c r="C397" s="46"/>
      <c r="D397" s="122"/>
      <c r="E397" s="6" t="s">
        <v>532</v>
      </c>
      <c r="F397" s="18">
        <v>16782844.01</v>
      </c>
      <c r="G397" s="124">
        <v>38.2</v>
      </c>
      <c r="H397" s="125">
        <v>6419132</v>
      </c>
      <c r="I397" s="30">
        <v>10100000</v>
      </c>
    </row>
    <row r="398" spans="1:9" s="47" customFormat="1" ht="15">
      <c r="A398" s="46"/>
      <c r="B398" s="46"/>
      <c r="C398" s="46"/>
      <c r="D398" s="122"/>
      <c r="E398" s="59" t="s">
        <v>533</v>
      </c>
      <c r="F398" s="18"/>
      <c r="G398" s="124"/>
      <c r="H398" s="125"/>
      <c r="I398" s="30"/>
    </row>
    <row r="399" spans="1:9" s="47" customFormat="1" ht="45">
      <c r="A399" s="46"/>
      <c r="B399" s="46"/>
      <c r="C399" s="46"/>
      <c r="D399" s="122"/>
      <c r="E399" s="6" t="s">
        <v>211</v>
      </c>
      <c r="F399" s="18">
        <v>18250798</v>
      </c>
      <c r="G399" s="124">
        <v>93.69890565881009</v>
      </c>
      <c r="H399" s="125">
        <v>17104695</v>
      </c>
      <c r="I399" s="30">
        <v>1000000</v>
      </c>
    </row>
    <row r="400" spans="1:9" s="47" customFormat="1" ht="60">
      <c r="A400" s="46"/>
      <c r="B400" s="46"/>
      <c r="C400" s="46"/>
      <c r="D400" s="122"/>
      <c r="E400" s="6" t="s">
        <v>212</v>
      </c>
      <c r="F400" s="18">
        <v>1116542</v>
      </c>
      <c r="G400" s="124"/>
      <c r="H400" s="125"/>
      <c r="I400" s="30">
        <v>15000</v>
      </c>
    </row>
    <row r="401" spans="1:9" s="47" customFormat="1" ht="15">
      <c r="A401" s="46"/>
      <c r="B401" s="46"/>
      <c r="C401" s="46"/>
      <c r="D401" s="122"/>
      <c r="E401" s="9" t="s">
        <v>237</v>
      </c>
      <c r="F401" s="22"/>
      <c r="G401" s="126"/>
      <c r="H401" s="127"/>
      <c r="I401" s="31">
        <v>3619</v>
      </c>
    </row>
    <row r="402" spans="1:9" s="47" customFormat="1" ht="15">
      <c r="A402" s="46"/>
      <c r="B402" s="46"/>
      <c r="C402" s="46"/>
      <c r="D402" s="122"/>
      <c r="E402" s="59" t="s">
        <v>657</v>
      </c>
      <c r="F402" s="18"/>
      <c r="G402" s="124"/>
      <c r="H402" s="125"/>
      <c r="I402" s="30"/>
    </row>
    <row r="403" spans="1:9" s="47" customFormat="1" ht="30">
      <c r="A403" s="46"/>
      <c r="B403" s="46"/>
      <c r="C403" s="46"/>
      <c r="D403" s="122"/>
      <c r="E403" s="6" t="s">
        <v>130</v>
      </c>
      <c r="F403" s="18">
        <v>44354472</v>
      </c>
      <c r="G403" s="124">
        <v>85.83884393889302</v>
      </c>
      <c r="H403" s="125">
        <v>38073366</v>
      </c>
      <c r="I403" s="30">
        <v>4000000</v>
      </c>
    </row>
    <row r="404" spans="1:9" s="47" customFormat="1" ht="30">
      <c r="A404" s="46"/>
      <c r="B404" s="46"/>
      <c r="C404" s="46"/>
      <c r="D404" s="122"/>
      <c r="E404" s="6" t="s">
        <v>440</v>
      </c>
      <c r="F404" s="18">
        <v>16898496</v>
      </c>
      <c r="G404" s="124">
        <v>98.4</v>
      </c>
      <c r="H404" s="125">
        <v>16629874</v>
      </c>
      <c r="I404" s="30">
        <v>100000</v>
      </c>
    </row>
    <row r="405" spans="1:9" s="47" customFormat="1" ht="30">
      <c r="A405" s="46"/>
      <c r="B405" s="46"/>
      <c r="C405" s="46"/>
      <c r="D405" s="122"/>
      <c r="E405" s="6" t="s">
        <v>658</v>
      </c>
      <c r="F405" s="18">
        <v>12829573</v>
      </c>
      <c r="G405" s="124">
        <v>98.1</v>
      </c>
      <c r="H405" s="125">
        <v>12585610</v>
      </c>
      <c r="I405" s="30">
        <v>100000</v>
      </c>
    </row>
    <row r="406" spans="1:9" s="47" customFormat="1" ht="15">
      <c r="A406" s="46"/>
      <c r="B406" s="46"/>
      <c r="C406" s="46"/>
      <c r="D406" s="122"/>
      <c r="E406" s="59" t="s">
        <v>437</v>
      </c>
      <c r="F406" s="18"/>
      <c r="G406" s="124"/>
      <c r="H406" s="125"/>
      <c r="I406" s="30"/>
    </row>
    <row r="407" spans="1:9" s="47" customFormat="1" ht="60">
      <c r="A407" s="46"/>
      <c r="B407" s="46"/>
      <c r="C407" s="46"/>
      <c r="D407" s="122"/>
      <c r="E407" s="6" t="s">
        <v>213</v>
      </c>
      <c r="F407" s="18">
        <v>59243089</v>
      </c>
      <c r="G407" s="124"/>
      <c r="H407" s="125"/>
      <c r="I407" s="30">
        <f>25000000+15346000</f>
        <v>40346000</v>
      </c>
    </row>
    <row r="408" spans="1:9" s="47" customFormat="1" ht="63">
      <c r="A408" s="46"/>
      <c r="B408" s="46"/>
      <c r="C408" s="46"/>
      <c r="D408" s="122"/>
      <c r="E408" s="6" t="s">
        <v>17</v>
      </c>
      <c r="F408" s="18">
        <v>21194712</v>
      </c>
      <c r="G408" s="124">
        <v>97.3</v>
      </c>
      <c r="H408" s="125">
        <v>20631718</v>
      </c>
      <c r="I408" s="30">
        <f>5100000-5000000</f>
        <v>100000</v>
      </c>
    </row>
    <row r="409" spans="1:9" s="47" customFormat="1" ht="30">
      <c r="A409" s="46"/>
      <c r="B409" s="46"/>
      <c r="C409" s="46"/>
      <c r="D409" s="122"/>
      <c r="E409" s="6" t="s">
        <v>502</v>
      </c>
      <c r="F409" s="18">
        <v>20000000</v>
      </c>
      <c r="G409" s="124">
        <v>95.4</v>
      </c>
      <c r="H409" s="125">
        <v>10070239</v>
      </c>
      <c r="I409" s="30">
        <v>354733</v>
      </c>
    </row>
    <row r="410" spans="1:9" s="47" customFormat="1" ht="45">
      <c r="A410" s="46"/>
      <c r="B410" s="46"/>
      <c r="C410" s="46"/>
      <c r="D410" s="122"/>
      <c r="E410" s="6" t="s">
        <v>545</v>
      </c>
      <c r="F410" s="18">
        <v>10900000</v>
      </c>
      <c r="G410" s="124">
        <v>6.4</v>
      </c>
      <c r="H410" s="125">
        <v>529904</v>
      </c>
      <c r="I410" s="30">
        <v>6102380</v>
      </c>
    </row>
    <row r="411" spans="1:9" s="47" customFormat="1" ht="45">
      <c r="A411" s="46"/>
      <c r="B411" s="46"/>
      <c r="C411" s="46"/>
      <c r="D411" s="122"/>
      <c r="E411" s="6" t="s">
        <v>18</v>
      </c>
      <c r="F411" s="18">
        <v>8219860</v>
      </c>
      <c r="G411" s="124"/>
      <c r="H411" s="125"/>
      <c r="I411" s="30">
        <v>2660000</v>
      </c>
    </row>
    <row r="412" spans="1:9" s="47" customFormat="1" ht="60">
      <c r="A412" s="46"/>
      <c r="B412" s="46"/>
      <c r="C412" s="46"/>
      <c r="D412" s="122"/>
      <c r="E412" s="6" t="s">
        <v>131</v>
      </c>
      <c r="F412" s="18">
        <v>397822</v>
      </c>
      <c r="G412" s="124"/>
      <c r="H412" s="125"/>
      <c r="I412" s="30">
        <v>397822</v>
      </c>
    </row>
    <row r="413" spans="1:9" s="47" customFormat="1" ht="60">
      <c r="A413" s="46"/>
      <c r="B413" s="46"/>
      <c r="C413" s="46"/>
      <c r="D413" s="122"/>
      <c r="E413" s="6" t="s">
        <v>132</v>
      </c>
      <c r="F413" s="18">
        <v>100000</v>
      </c>
      <c r="G413" s="124"/>
      <c r="H413" s="125"/>
      <c r="I413" s="30">
        <v>100000</v>
      </c>
    </row>
    <row r="414" spans="1:9" s="47" customFormat="1" ht="15">
      <c r="A414" s="46"/>
      <c r="B414" s="46"/>
      <c r="C414" s="46"/>
      <c r="D414" s="122"/>
      <c r="E414" s="59" t="s">
        <v>462</v>
      </c>
      <c r="F414" s="18"/>
      <c r="G414" s="124"/>
      <c r="H414" s="125"/>
      <c r="I414" s="30"/>
    </row>
    <row r="415" spans="1:9" s="47" customFormat="1" ht="30">
      <c r="A415" s="46"/>
      <c r="B415" s="46"/>
      <c r="C415" s="46"/>
      <c r="D415" s="122"/>
      <c r="E415" s="6" t="s">
        <v>503</v>
      </c>
      <c r="F415" s="18">
        <v>20000000</v>
      </c>
      <c r="G415" s="124">
        <v>95.6</v>
      </c>
      <c r="H415" s="125">
        <v>16653140</v>
      </c>
      <c r="I415" s="30">
        <v>575062</v>
      </c>
    </row>
    <row r="416" spans="1:9" s="47" customFormat="1" ht="60">
      <c r="A416" s="46"/>
      <c r="B416" s="46"/>
      <c r="C416" s="46"/>
      <c r="D416" s="122"/>
      <c r="E416" s="96" t="s">
        <v>133</v>
      </c>
      <c r="F416" s="18">
        <v>47999365</v>
      </c>
      <c r="G416" s="124">
        <v>73.5</v>
      </c>
      <c r="H416" s="125">
        <v>35289365</v>
      </c>
      <c r="I416" s="30">
        <f>7000000+2500000</f>
        <v>9500000</v>
      </c>
    </row>
    <row r="417" spans="1:9" s="47" customFormat="1" ht="30">
      <c r="A417" s="46"/>
      <c r="B417" s="46"/>
      <c r="C417" s="46"/>
      <c r="D417" s="122"/>
      <c r="E417" s="6" t="s">
        <v>504</v>
      </c>
      <c r="F417" s="18">
        <v>52783028</v>
      </c>
      <c r="G417" s="124">
        <v>98.8</v>
      </c>
      <c r="H417" s="125">
        <v>52131942</v>
      </c>
      <c r="I417" s="30">
        <v>100000</v>
      </c>
    </row>
    <row r="418" spans="1:9" s="47" customFormat="1" ht="30">
      <c r="A418" s="46"/>
      <c r="B418" s="46"/>
      <c r="C418" s="46"/>
      <c r="D418" s="122"/>
      <c r="E418" s="6" t="s">
        <v>441</v>
      </c>
      <c r="F418" s="18">
        <v>52537780</v>
      </c>
      <c r="G418" s="124">
        <v>52.7</v>
      </c>
      <c r="H418" s="125">
        <v>27696536</v>
      </c>
      <c r="I418" s="30">
        <f>6000000+10000000</f>
        <v>16000000</v>
      </c>
    </row>
    <row r="419" spans="1:9" s="47" customFormat="1" ht="30">
      <c r="A419" s="46"/>
      <c r="B419" s="46"/>
      <c r="C419" s="46"/>
      <c r="D419" s="122"/>
      <c r="E419" s="6" t="s">
        <v>57</v>
      </c>
      <c r="F419" s="18">
        <v>95632273</v>
      </c>
      <c r="G419" s="124">
        <v>46.2</v>
      </c>
      <c r="H419" s="125">
        <v>44153536</v>
      </c>
      <c r="I419" s="30">
        <f>18365700+15000000</f>
        <v>33365700</v>
      </c>
    </row>
    <row r="420" spans="1:9" s="47" customFormat="1" ht="45">
      <c r="A420" s="46"/>
      <c r="B420" s="46"/>
      <c r="C420" s="46"/>
      <c r="D420" s="122"/>
      <c r="E420" s="6" t="s">
        <v>505</v>
      </c>
      <c r="F420" s="18">
        <v>6768385</v>
      </c>
      <c r="G420" s="124">
        <v>8.9</v>
      </c>
      <c r="H420" s="125">
        <v>600429</v>
      </c>
      <c r="I420" s="30">
        <v>3500000</v>
      </c>
    </row>
    <row r="421" spans="1:9" s="47" customFormat="1" ht="60">
      <c r="A421" s="46"/>
      <c r="B421" s="46"/>
      <c r="C421" s="46"/>
      <c r="D421" s="122"/>
      <c r="E421" s="6" t="s">
        <v>214</v>
      </c>
      <c r="F421" s="18">
        <v>28086407</v>
      </c>
      <c r="G421" s="124">
        <v>38.1</v>
      </c>
      <c r="H421" s="125">
        <v>10702982</v>
      </c>
      <c r="I421" s="30">
        <f>6700000+3500000</f>
        <v>10200000</v>
      </c>
    </row>
    <row r="422" spans="1:9" s="47" customFormat="1" ht="75">
      <c r="A422" s="46"/>
      <c r="B422" s="46"/>
      <c r="C422" s="46"/>
      <c r="D422" s="122"/>
      <c r="E422" s="66" t="s">
        <v>19</v>
      </c>
      <c r="F422" s="18">
        <v>58352619</v>
      </c>
      <c r="G422" s="124">
        <v>5.076738715018087</v>
      </c>
      <c r="H422" s="125">
        <v>2962410</v>
      </c>
      <c r="I422" s="30">
        <v>34700000</v>
      </c>
    </row>
    <row r="423" spans="1:9" s="47" customFormat="1" ht="75">
      <c r="A423" s="46"/>
      <c r="B423" s="46"/>
      <c r="C423" s="46"/>
      <c r="D423" s="122"/>
      <c r="E423" s="6" t="s">
        <v>215</v>
      </c>
      <c r="F423" s="18">
        <v>58074609</v>
      </c>
      <c r="G423" s="124">
        <v>9.1</v>
      </c>
      <c r="H423" s="125">
        <v>5261619</v>
      </c>
      <c r="I423" s="30">
        <f>31286763+4000000</f>
        <v>35286763</v>
      </c>
    </row>
    <row r="424" spans="1:9" s="47" customFormat="1" ht="30">
      <c r="A424" s="46"/>
      <c r="B424" s="46"/>
      <c r="C424" s="46"/>
      <c r="D424" s="122"/>
      <c r="E424" s="6" t="s">
        <v>506</v>
      </c>
      <c r="F424" s="18">
        <v>50000000</v>
      </c>
      <c r="G424" s="124">
        <v>98.3</v>
      </c>
      <c r="H424" s="125">
        <v>63617270</v>
      </c>
      <c r="I424" s="30">
        <v>1100000</v>
      </c>
    </row>
    <row r="425" spans="1:9" s="47" customFormat="1" ht="30">
      <c r="A425" s="46"/>
      <c r="B425" s="46"/>
      <c r="C425" s="46"/>
      <c r="D425" s="122"/>
      <c r="E425" s="6" t="s">
        <v>134</v>
      </c>
      <c r="F425" s="18">
        <v>55283728</v>
      </c>
      <c r="G425" s="124">
        <v>98.7</v>
      </c>
      <c r="H425" s="125">
        <v>54579392</v>
      </c>
      <c r="I425" s="30">
        <v>100000</v>
      </c>
    </row>
    <row r="426" spans="1:9" s="47" customFormat="1" ht="60">
      <c r="A426" s="46"/>
      <c r="B426" s="46"/>
      <c r="C426" s="46"/>
      <c r="D426" s="122"/>
      <c r="E426" s="6" t="s">
        <v>56</v>
      </c>
      <c r="F426" s="18">
        <v>90000000</v>
      </c>
      <c r="G426" s="124">
        <v>99.8888888888889</v>
      </c>
      <c r="H426" s="125">
        <v>103291177</v>
      </c>
      <c r="I426" s="30">
        <v>100000</v>
      </c>
    </row>
    <row r="427" spans="1:9" s="47" customFormat="1" ht="15">
      <c r="A427" s="46"/>
      <c r="B427" s="46"/>
      <c r="C427" s="46"/>
      <c r="D427" s="122"/>
      <c r="E427" s="59" t="s">
        <v>507</v>
      </c>
      <c r="F427" s="18"/>
      <c r="G427" s="124"/>
      <c r="H427" s="125"/>
      <c r="I427" s="30"/>
    </row>
    <row r="428" spans="1:9" s="47" customFormat="1" ht="40.5" customHeight="1">
      <c r="A428" s="46"/>
      <c r="B428" s="46"/>
      <c r="C428" s="46"/>
      <c r="D428" s="122"/>
      <c r="E428" s="6" t="s">
        <v>20</v>
      </c>
      <c r="F428" s="18">
        <v>35957806</v>
      </c>
      <c r="G428" s="124">
        <v>13.5</v>
      </c>
      <c r="H428" s="125">
        <v>5421915</v>
      </c>
      <c r="I428" s="30">
        <v>13000000</v>
      </c>
    </row>
    <row r="429" spans="1:9" s="47" customFormat="1" ht="15">
      <c r="A429" s="46"/>
      <c r="B429" s="46"/>
      <c r="C429" s="46"/>
      <c r="D429" s="122"/>
      <c r="E429" s="59" t="s">
        <v>697</v>
      </c>
      <c r="F429" s="18"/>
      <c r="G429" s="124"/>
      <c r="H429" s="125"/>
      <c r="I429" s="30"/>
    </row>
    <row r="430" spans="1:9" s="47" customFormat="1" ht="90">
      <c r="A430" s="46"/>
      <c r="B430" s="46"/>
      <c r="C430" s="46"/>
      <c r="D430" s="122"/>
      <c r="E430" s="6" t="s">
        <v>21</v>
      </c>
      <c r="F430" s="18">
        <v>7518098</v>
      </c>
      <c r="G430" s="124">
        <v>2.9</v>
      </c>
      <c r="H430" s="125">
        <v>215288</v>
      </c>
      <c r="I430" s="30">
        <f>200000+7000000</f>
        <v>7200000</v>
      </c>
    </row>
    <row r="431" spans="1:9" s="47" customFormat="1" ht="15">
      <c r="A431" s="46"/>
      <c r="B431" s="46"/>
      <c r="C431" s="46"/>
      <c r="D431" s="122"/>
      <c r="E431" s="59" t="s">
        <v>698</v>
      </c>
      <c r="F431" s="18"/>
      <c r="G431" s="124"/>
      <c r="H431" s="125"/>
      <c r="I431" s="30"/>
    </row>
    <row r="432" spans="1:9" s="47" customFormat="1" ht="30">
      <c r="A432" s="46"/>
      <c r="B432" s="46"/>
      <c r="C432" s="46"/>
      <c r="D432" s="122"/>
      <c r="E432" s="6" t="s">
        <v>442</v>
      </c>
      <c r="F432" s="18">
        <v>50512079</v>
      </c>
      <c r="G432" s="124">
        <v>54.1</v>
      </c>
      <c r="H432" s="125">
        <v>27327225</v>
      </c>
      <c r="I432" s="30">
        <f>19527000+3370000</f>
        <v>22897000</v>
      </c>
    </row>
    <row r="433" spans="1:9" s="47" customFormat="1" ht="45">
      <c r="A433" s="46"/>
      <c r="B433" s="46"/>
      <c r="C433" s="46"/>
      <c r="D433" s="122"/>
      <c r="E433" s="6" t="s">
        <v>443</v>
      </c>
      <c r="F433" s="18">
        <v>30137822</v>
      </c>
      <c r="G433" s="124">
        <v>89.2</v>
      </c>
      <c r="H433" s="125">
        <v>26867884</v>
      </c>
      <c r="I433" s="30">
        <v>3100000</v>
      </c>
    </row>
    <row r="434" spans="1:9" s="47" customFormat="1" ht="30">
      <c r="A434" s="46"/>
      <c r="B434" s="46"/>
      <c r="C434" s="46"/>
      <c r="D434" s="122"/>
      <c r="E434" s="6" t="s">
        <v>135</v>
      </c>
      <c r="F434" s="18">
        <v>4546291</v>
      </c>
      <c r="G434" s="124"/>
      <c r="H434" s="125"/>
      <c r="I434" s="30">
        <v>200000</v>
      </c>
    </row>
    <row r="435" spans="1:9" s="47" customFormat="1" ht="15">
      <c r="A435" s="46"/>
      <c r="B435" s="46"/>
      <c r="C435" s="46"/>
      <c r="D435" s="122"/>
      <c r="E435" s="9" t="s">
        <v>237</v>
      </c>
      <c r="F435" s="22"/>
      <c r="G435" s="126"/>
      <c r="H435" s="127"/>
      <c r="I435" s="31">
        <v>190359</v>
      </c>
    </row>
    <row r="436" spans="1:9" s="47" customFormat="1" ht="15">
      <c r="A436" s="46"/>
      <c r="B436" s="46"/>
      <c r="C436" s="46"/>
      <c r="D436" s="122"/>
      <c r="E436" s="59" t="s">
        <v>699</v>
      </c>
      <c r="F436" s="18"/>
      <c r="G436" s="124"/>
      <c r="H436" s="125"/>
      <c r="I436" s="30"/>
    </row>
    <row r="437" spans="1:9" s="47" customFormat="1" ht="30">
      <c r="A437" s="46"/>
      <c r="B437" s="46"/>
      <c r="C437" s="46"/>
      <c r="D437" s="122"/>
      <c r="E437" s="6" t="s">
        <v>136</v>
      </c>
      <c r="F437" s="18">
        <v>47951262</v>
      </c>
      <c r="G437" s="124">
        <v>97.5</v>
      </c>
      <c r="H437" s="125">
        <v>46741801</v>
      </c>
      <c r="I437" s="30">
        <v>100000</v>
      </c>
    </row>
    <row r="438" spans="1:9" s="47" customFormat="1" ht="30">
      <c r="A438" s="46"/>
      <c r="B438" s="46"/>
      <c r="C438" s="46"/>
      <c r="D438" s="122"/>
      <c r="E438" s="6" t="s">
        <v>444</v>
      </c>
      <c r="F438" s="18">
        <v>58435151</v>
      </c>
      <c r="G438" s="124">
        <v>98.22692509171405</v>
      </c>
      <c r="H438" s="125">
        <v>57399052</v>
      </c>
      <c r="I438" s="30">
        <v>10000</v>
      </c>
    </row>
    <row r="439" spans="1:9" s="47" customFormat="1" ht="30">
      <c r="A439" s="46"/>
      <c r="B439" s="46"/>
      <c r="C439" s="46"/>
      <c r="D439" s="122"/>
      <c r="E439" s="6" t="s">
        <v>700</v>
      </c>
      <c r="F439" s="18">
        <v>49828880</v>
      </c>
      <c r="G439" s="124">
        <v>97.52610734979393</v>
      </c>
      <c r="H439" s="125">
        <v>48596167</v>
      </c>
      <c r="I439" s="30">
        <v>10000</v>
      </c>
    </row>
    <row r="440" spans="1:9" s="47" customFormat="1" ht="45">
      <c r="A440" s="46"/>
      <c r="B440" s="46"/>
      <c r="C440" s="46"/>
      <c r="D440" s="122"/>
      <c r="E440" s="6" t="s">
        <v>360</v>
      </c>
      <c r="F440" s="18">
        <v>12516782</v>
      </c>
      <c r="G440" s="124">
        <v>16.9</v>
      </c>
      <c r="H440" s="125">
        <v>2115627</v>
      </c>
      <c r="I440" s="30">
        <f>5201155+5000000</f>
        <v>10201155</v>
      </c>
    </row>
    <row r="441" spans="1:9" s="47" customFormat="1" ht="15">
      <c r="A441" s="46"/>
      <c r="B441" s="46"/>
      <c r="C441" s="46"/>
      <c r="D441" s="122"/>
      <c r="E441" s="59" t="s">
        <v>527</v>
      </c>
      <c r="F441" s="18"/>
      <c r="G441" s="124"/>
      <c r="H441" s="125"/>
      <c r="I441" s="30"/>
    </row>
    <row r="442" spans="1:9" s="47" customFormat="1" ht="45">
      <c r="A442" s="46"/>
      <c r="B442" s="46"/>
      <c r="C442" s="46"/>
      <c r="D442" s="122"/>
      <c r="E442" s="6" t="s">
        <v>216</v>
      </c>
      <c r="F442" s="18">
        <v>53073317</v>
      </c>
      <c r="G442" s="124">
        <v>97.8</v>
      </c>
      <c r="H442" s="125">
        <v>51912611</v>
      </c>
      <c r="I442" s="30">
        <v>100000</v>
      </c>
    </row>
    <row r="443" spans="1:9" s="47" customFormat="1" ht="30.75" customHeight="1">
      <c r="A443" s="46"/>
      <c r="B443" s="46"/>
      <c r="C443" s="46"/>
      <c r="D443" s="122"/>
      <c r="E443" s="6" t="s">
        <v>367</v>
      </c>
      <c r="F443" s="18">
        <v>35417961</v>
      </c>
      <c r="G443" s="124">
        <v>61.1</v>
      </c>
      <c r="H443" s="125">
        <v>21632121</v>
      </c>
      <c r="I443" s="30">
        <v>9000000</v>
      </c>
    </row>
    <row r="444" spans="1:9" s="47" customFormat="1" ht="45">
      <c r="A444" s="46"/>
      <c r="B444" s="46"/>
      <c r="C444" s="46"/>
      <c r="D444" s="122"/>
      <c r="E444" s="6" t="s">
        <v>725</v>
      </c>
      <c r="F444" s="18">
        <v>512191</v>
      </c>
      <c r="G444" s="124">
        <v>47.83528019820731</v>
      </c>
      <c r="H444" s="125">
        <v>245008</v>
      </c>
      <c r="I444" s="30">
        <v>100000</v>
      </c>
    </row>
    <row r="445" spans="1:9" s="47" customFormat="1" ht="15">
      <c r="A445" s="46"/>
      <c r="B445" s="46"/>
      <c r="C445" s="46"/>
      <c r="D445" s="122"/>
      <c r="E445" s="59" t="s">
        <v>464</v>
      </c>
      <c r="F445" s="18"/>
      <c r="G445" s="124"/>
      <c r="H445" s="125"/>
      <c r="I445" s="30"/>
    </row>
    <row r="446" spans="1:9" s="47" customFormat="1" ht="45">
      <c r="A446" s="46"/>
      <c r="B446" s="46"/>
      <c r="C446" s="46"/>
      <c r="D446" s="122"/>
      <c r="E446" s="6" t="s">
        <v>137</v>
      </c>
      <c r="F446" s="18">
        <v>89424055</v>
      </c>
      <c r="G446" s="124">
        <v>98.1</v>
      </c>
      <c r="H446" s="125">
        <v>87739871</v>
      </c>
      <c r="I446" s="30">
        <v>1164534</v>
      </c>
    </row>
    <row r="447" spans="1:9" s="47" customFormat="1" ht="45">
      <c r="A447" s="46"/>
      <c r="B447" s="46"/>
      <c r="C447" s="46"/>
      <c r="D447" s="122"/>
      <c r="E447" s="6" t="s">
        <v>368</v>
      </c>
      <c r="F447" s="18">
        <v>29786688.279999997</v>
      </c>
      <c r="G447" s="124">
        <v>11.9</v>
      </c>
      <c r="H447" s="125">
        <v>3555721</v>
      </c>
      <c r="I447" s="30">
        <f>100000+5000000</f>
        <v>5100000</v>
      </c>
    </row>
    <row r="448" spans="1:9" s="47" customFormat="1" ht="15">
      <c r="A448" s="46"/>
      <c r="B448" s="46"/>
      <c r="C448" s="46"/>
      <c r="D448" s="122"/>
      <c r="E448" s="59" t="s">
        <v>369</v>
      </c>
      <c r="F448" s="18"/>
      <c r="G448" s="124"/>
      <c r="H448" s="125"/>
      <c r="I448" s="30"/>
    </row>
    <row r="449" spans="1:9" s="47" customFormat="1" ht="30">
      <c r="A449" s="46"/>
      <c r="B449" s="46"/>
      <c r="C449" s="46"/>
      <c r="D449" s="122"/>
      <c r="E449" s="6" t="s">
        <v>22</v>
      </c>
      <c r="F449" s="18">
        <v>13997221</v>
      </c>
      <c r="G449" s="124">
        <v>98.6</v>
      </c>
      <c r="H449" s="125">
        <v>13802853</v>
      </c>
      <c r="I449" s="30">
        <v>100000</v>
      </c>
    </row>
    <row r="450" spans="1:9" s="47" customFormat="1" ht="15">
      <c r="A450" s="46"/>
      <c r="B450" s="46"/>
      <c r="C450" s="46"/>
      <c r="D450" s="122"/>
      <c r="E450" s="59" t="s">
        <v>370</v>
      </c>
      <c r="F450" s="18"/>
      <c r="G450" s="124"/>
      <c r="H450" s="125"/>
      <c r="I450" s="30"/>
    </row>
    <row r="451" spans="1:9" s="47" customFormat="1" ht="51.75" customHeight="1">
      <c r="A451" s="46"/>
      <c r="B451" s="46"/>
      <c r="C451" s="46"/>
      <c r="D451" s="122"/>
      <c r="E451" s="6" t="s">
        <v>23</v>
      </c>
      <c r="F451" s="18">
        <v>20485194</v>
      </c>
      <c r="G451" s="124"/>
      <c r="H451" s="125"/>
      <c r="I451" s="30">
        <f>11500000+6486000</f>
        <v>17986000</v>
      </c>
    </row>
    <row r="452" spans="1:9" s="47" customFormat="1" ht="75">
      <c r="A452" s="46"/>
      <c r="B452" s="46"/>
      <c r="C452" s="46"/>
      <c r="D452" s="122"/>
      <c r="E452" s="6" t="s">
        <v>217</v>
      </c>
      <c r="F452" s="18">
        <v>11903754</v>
      </c>
      <c r="G452" s="124">
        <v>0</v>
      </c>
      <c r="H452" s="125">
        <v>0</v>
      </c>
      <c r="I452" s="30">
        <v>300000</v>
      </c>
    </row>
    <row r="453" spans="1:9" s="47" customFormat="1" ht="15">
      <c r="A453" s="46"/>
      <c r="B453" s="46"/>
      <c r="C453" s="46"/>
      <c r="D453" s="122"/>
      <c r="E453" s="59" t="s">
        <v>371</v>
      </c>
      <c r="F453" s="18"/>
      <c r="G453" s="124"/>
      <c r="H453" s="125"/>
      <c r="I453" s="30"/>
    </row>
    <row r="454" spans="1:9" s="47" customFormat="1" ht="45">
      <c r="A454" s="46"/>
      <c r="B454" s="46"/>
      <c r="C454" s="46"/>
      <c r="D454" s="122"/>
      <c r="E454" s="6" t="s">
        <v>487</v>
      </c>
      <c r="F454" s="18">
        <v>20574267</v>
      </c>
      <c r="G454" s="124">
        <v>93.5</v>
      </c>
      <c r="H454" s="125">
        <v>19238912</v>
      </c>
      <c r="I454" s="30">
        <v>1100000</v>
      </c>
    </row>
    <row r="455" spans="1:9" s="47" customFormat="1" ht="15">
      <c r="A455" s="46"/>
      <c r="B455" s="46"/>
      <c r="C455" s="46"/>
      <c r="D455" s="122"/>
      <c r="E455" s="59" t="s">
        <v>372</v>
      </c>
      <c r="F455" s="18"/>
      <c r="G455" s="124"/>
      <c r="H455" s="125"/>
      <c r="I455" s="30"/>
    </row>
    <row r="456" spans="1:9" s="47" customFormat="1" ht="30">
      <c r="A456" s="46"/>
      <c r="B456" s="46"/>
      <c r="C456" s="46"/>
      <c r="D456" s="122"/>
      <c r="E456" s="6" t="s">
        <v>373</v>
      </c>
      <c r="F456" s="18">
        <v>50000000</v>
      </c>
      <c r="G456" s="124">
        <v>98.7</v>
      </c>
      <c r="H456" s="125">
        <v>49329943</v>
      </c>
      <c r="I456" s="30">
        <v>100000</v>
      </c>
    </row>
    <row r="457" spans="1:9" s="47" customFormat="1" ht="36.75" customHeight="1">
      <c r="A457" s="46"/>
      <c r="B457" s="46"/>
      <c r="C457" s="46"/>
      <c r="D457" s="122"/>
      <c r="E457" s="6" t="s">
        <v>425</v>
      </c>
      <c r="F457" s="18">
        <v>6729683</v>
      </c>
      <c r="G457" s="124">
        <v>50.1</v>
      </c>
      <c r="H457" s="125">
        <v>3372055</v>
      </c>
      <c r="I457" s="30">
        <f>1100000+2000000</f>
        <v>3100000</v>
      </c>
    </row>
    <row r="458" spans="1:9" s="47" customFormat="1" ht="15">
      <c r="A458" s="46"/>
      <c r="B458" s="46"/>
      <c r="C458" s="46"/>
      <c r="D458" s="122"/>
      <c r="E458" s="59" t="s">
        <v>374</v>
      </c>
      <c r="F458" s="18"/>
      <c r="G458" s="124"/>
      <c r="H458" s="125"/>
      <c r="I458" s="30"/>
    </row>
    <row r="459" spans="1:9" s="47" customFormat="1" ht="75">
      <c r="A459" s="46"/>
      <c r="B459" s="46"/>
      <c r="C459" s="46"/>
      <c r="D459" s="122"/>
      <c r="E459" s="96" t="s">
        <v>138</v>
      </c>
      <c r="F459" s="18">
        <v>30000000</v>
      </c>
      <c r="G459" s="124">
        <v>92.3</v>
      </c>
      <c r="H459" s="125">
        <v>27700000</v>
      </c>
      <c r="I459" s="30">
        <v>2100000</v>
      </c>
    </row>
    <row r="460" spans="1:9" s="47" customFormat="1" ht="75">
      <c r="A460" s="46"/>
      <c r="B460" s="46"/>
      <c r="C460" s="46"/>
      <c r="D460" s="122"/>
      <c r="E460" s="6" t="s">
        <v>513</v>
      </c>
      <c r="F460" s="18">
        <v>116768051</v>
      </c>
      <c r="G460" s="124">
        <v>98</v>
      </c>
      <c r="H460" s="125">
        <v>114384823</v>
      </c>
      <c r="I460" s="30">
        <v>100000</v>
      </c>
    </row>
    <row r="461" spans="1:9" s="47" customFormat="1" ht="45">
      <c r="A461" s="46"/>
      <c r="B461" s="46"/>
      <c r="C461" s="46"/>
      <c r="D461" s="122"/>
      <c r="E461" s="6" t="s">
        <v>218</v>
      </c>
      <c r="F461" s="18">
        <v>55392944</v>
      </c>
      <c r="G461" s="124">
        <v>44.4</v>
      </c>
      <c r="H461" s="125">
        <v>24594847</v>
      </c>
      <c r="I461" s="30">
        <v>20000000</v>
      </c>
    </row>
    <row r="462" spans="1:9" s="47" customFormat="1" ht="15">
      <c r="A462" s="46"/>
      <c r="B462" s="46"/>
      <c r="C462" s="46"/>
      <c r="D462" s="122"/>
      <c r="E462" s="59" t="s">
        <v>465</v>
      </c>
      <c r="F462" s="18"/>
      <c r="G462" s="124"/>
      <c r="H462" s="125"/>
      <c r="I462" s="30"/>
    </row>
    <row r="463" spans="1:9" s="47" customFormat="1" ht="30">
      <c r="A463" s="46"/>
      <c r="B463" s="46"/>
      <c r="C463" s="46"/>
      <c r="D463" s="122"/>
      <c r="E463" s="6" t="s">
        <v>361</v>
      </c>
      <c r="F463" s="18">
        <v>3860503</v>
      </c>
      <c r="G463" s="124">
        <v>87</v>
      </c>
      <c r="H463" s="125">
        <v>3356809</v>
      </c>
      <c r="I463" s="30">
        <v>100000</v>
      </c>
    </row>
    <row r="464" spans="1:9" s="47" customFormat="1" ht="30">
      <c r="A464" s="46"/>
      <c r="B464" s="46"/>
      <c r="C464" s="46"/>
      <c r="D464" s="122"/>
      <c r="E464" s="6" t="s">
        <v>375</v>
      </c>
      <c r="F464" s="18">
        <v>29132238</v>
      </c>
      <c r="G464" s="124">
        <v>84.3</v>
      </c>
      <c r="H464" s="125">
        <v>24556529</v>
      </c>
      <c r="I464" s="30">
        <v>4283000</v>
      </c>
    </row>
    <row r="465" spans="1:9" s="47" customFormat="1" ht="15">
      <c r="A465" s="46"/>
      <c r="B465" s="46"/>
      <c r="C465" s="46"/>
      <c r="D465" s="122"/>
      <c r="E465" s="59" t="s">
        <v>460</v>
      </c>
      <c r="F465" s="18"/>
      <c r="G465" s="124"/>
      <c r="H465" s="125"/>
      <c r="I465" s="30"/>
    </row>
    <row r="466" spans="1:9" s="47" customFormat="1" ht="45">
      <c r="A466" s="46"/>
      <c r="B466" s="46"/>
      <c r="C466" s="46"/>
      <c r="D466" s="122"/>
      <c r="E466" s="6" t="s">
        <v>364</v>
      </c>
      <c r="F466" s="18">
        <v>58243218</v>
      </c>
      <c r="G466" s="124">
        <v>93.5</v>
      </c>
      <c r="H466" s="125">
        <v>54480686</v>
      </c>
      <c r="I466" s="30">
        <v>100000</v>
      </c>
    </row>
    <row r="467" spans="1:9" s="47" customFormat="1" ht="30">
      <c r="A467" s="46"/>
      <c r="B467" s="46"/>
      <c r="C467" s="46"/>
      <c r="D467" s="122"/>
      <c r="E467" s="6" t="s">
        <v>365</v>
      </c>
      <c r="F467" s="18">
        <v>3191719</v>
      </c>
      <c r="G467" s="124">
        <v>94.4</v>
      </c>
      <c r="H467" s="125">
        <v>3012977</v>
      </c>
      <c r="I467" s="30">
        <v>100000</v>
      </c>
    </row>
    <row r="468" spans="1:9" s="47" customFormat="1" ht="45">
      <c r="A468" s="46"/>
      <c r="B468" s="46"/>
      <c r="C468" s="46"/>
      <c r="D468" s="122"/>
      <c r="E468" s="96" t="s">
        <v>139</v>
      </c>
      <c r="F468" s="18">
        <v>57702985</v>
      </c>
      <c r="G468" s="124">
        <v>73.9</v>
      </c>
      <c r="H468" s="125">
        <v>42659844</v>
      </c>
      <c r="I468" s="30">
        <f>14500000-340011</f>
        <v>14159989</v>
      </c>
    </row>
    <row r="469" spans="1:9" s="47" customFormat="1" ht="15">
      <c r="A469" s="46"/>
      <c r="B469" s="46"/>
      <c r="C469" s="46"/>
      <c r="D469" s="122"/>
      <c r="E469" s="59" t="s">
        <v>378</v>
      </c>
      <c r="F469" s="18"/>
      <c r="G469" s="124"/>
      <c r="H469" s="125"/>
      <c r="I469" s="30"/>
    </row>
    <row r="470" spans="1:9" s="47" customFormat="1" ht="60">
      <c r="A470" s="46"/>
      <c r="B470" s="46"/>
      <c r="C470" s="46"/>
      <c r="D470" s="122"/>
      <c r="E470" s="6" t="s">
        <v>219</v>
      </c>
      <c r="F470" s="18">
        <v>35000000</v>
      </c>
      <c r="G470" s="124">
        <v>97.34844571428572</v>
      </c>
      <c r="H470" s="125">
        <v>34071956</v>
      </c>
      <c r="I470" s="30">
        <v>728044</v>
      </c>
    </row>
    <row r="471" spans="1:9" s="47" customFormat="1" ht="60">
      <c r="A471" s="46"/>
      <c r="B471" s="46"/>
      <c r="C471" s="46"/>
      <c r="D471" s="122"/>
      <c r="E471" s="6" t="s">
        <v>140</v>
      </c>
      <c r="F471" s="18">
        <v>2149086</v>
      </c>
      <c r="G471" s="124">
        <v>7.7</v>
      </c>
      <c r="H471" s="125">
        <v>164785</v>
      </c>
      <c r="I471" s="30">
        <v>150000</v>
      </c>
    </row>
    <row r="472" spans="1:9" s="47" customFormat="1" ht="15">
      <c r="A472" s="46"/>
      <c r="B472" s="46"/>
      <c r="C472" s="46"/>
      <c r="D472" s="122"/>
      <c r="E472" s="59" t="s">
        <v>379</v>
      </c>
      <c r="F472" s="18"/>
      <c r="G472" s="124"/>
      <c r="H472" s="125"/>
      <c r="I472" s="30"/>
    </row>
    <row r="473" spans="1:9" s="47" customFormat="1" ht="51.75" customHeight="1">
      <c r="A473" s="46"/>
      <c r="B473" s="46"/>
      <c r="C473" s="46"/>
      <c r="D473" s="122"/>
      <c r="E473" s="6" t="s">
        <v>696</v>
      </c>
      <c r="F473" s="18">
        <v>14251354</v>
      </c>
      <c r="G473" s="124">
        <v>98.5</v>
      </c>
      <c r="H473" s="125">
        <v>14042047</v>
      </c>
      <c r="I473" s="30">
        <v>100000</v>
      </c>
    </row>
    <row r="474" spans="1:9" s="47" customFormat="1" ht="60">
      <c r="A474" s="46"/>
      <c r="B474" s="46"/>
      <c r="C474" s="46"/>
      <c r="D474" s="122"/>
      <c r="E474" s="6" t="s">
        <v>576</v>
      </c>
      <c r="F474" s="18">
        <v>45000000</v>
      </c>
      <c r="G474" s="124">
        <v>86.6</v>
      </c>
      <c r="H474" s="125">
        <v>38971000</v>
      </c>
      <c r="I474" s="30">
        <f>14829000-10000000</f>
        <v>4829000</v>
      </c>
    </row>
    <row r="475" spans="1:9" s="47" customFormat="1" ht="31.5" customHeight="1">
      <c r="A475" s="46" t="s">
        <v>380</v>
      </c>
      <c r="B475" s="46" t="s">
        <v>381</v>
      </c>
      <c r="C475" s="46" t="s">
        <v>609</v>
      </c>
      <c r="D475" s="122" t="s">
        <v>382</v>
      </c>
      <c r="E475" s="9"/>
      <c r="F475" s="22"/>
      <c r="G475" s="40"/>
      <c r="H475" s="22"/>
      <c r="I475" s="31">
        <f>I478+I479+I484+I485+I486+I487+I488+I495+I499+I501+I477+I480+I481+I482+I483+I492+I497+I503+I493+I489+I490</f>
        <v>215426028</v>
      </c>
    </row>
    <row r="476" spans="1:9" s="47" customFormat="1" ht="15">
      <c r="A476" s="46"/>
      <c r="B476" s="46"/>
      <c r="C476" s="46"/>
      <c r="D476" s="122"/>
      <c r="E476" s="59" t="s">
        <v>521</v>
      </c>
      <c r="F476" s="22"/>
      <c r="G476" s="40"/>
      <c r="H476" s="22"/>
      <c r="I476" s="31"/>
    </row>
    <row r="477" spans="1:9" s="47" customFormat="1" ht="30">
      <c r="A477" s="46"/>
      <c r="B477" s="46"/>
      <c r="C477" s="46"/>
      <c r="D477" s="122"/>
      <c r="E477" s="66" t="s">
        <v>141</v>
      </c>
      <c r="F477" s="18">
        <v>20000000</v>
      </c>
      <c r="G477" s="41">
        <v>91.100665</v>
      </c>
      <c r="H477" s="18">
        <v>18220133</v>
      </c>
      <c r="I477" s="30">
        <v>1480000</v>
      </c>
    </row>
    <row r="478" spans="1:9" s="47" customFormat="1" ht="45">
      <c r="A478" s="46"/>
      <c r="B478" s="46"/>
      <c r="C478" s="46"/>
      <c r="D478" s="122"/>
      <c r="E478" s="6" t="s">
        <v>366</v>
      </c>
      <c r="F478" s="18">
        <v>1333790</v>
      </c>
      <c r="G478" s="124">
        <v>0</v>
      </c>
      <c r="H478" s="125">
        <v>0</v>
      </c>
      <c r="I478" s="30">
        <v>1333790</v>
      </c>
    </row>
    <row r="479" spans="1:9" s="47" customFormat="1" ht="75">
      <c r="A479" s="46"/>
      <c r="B479" s="46"/>
      <c r="C479" s="46"/>
      <c r="D479" s="122"/>
      <c r="E479" s="6" t="s">
        <v>24</v>
      </c>
      <c r="F479" s="18">
        <v>231673220</v>
      </c>
      <c r="G479" s="124">
        <v>11.5</v>
      </c>
      <c r="H479" s="125">
        <v>26573938</v>
      </c>
      <c r="I479" s="30">
        <f>71259860+65700000</f>
        <v>136959860</v>
      </c>
    </row>
    <row r="480" spans="1:9" s="47" customFormat="1" ht="75">
      <c r="A480" s="46"/>
      <c r="B480" s="46"/>
      <c r="C480" s="46"/>
      <c r="D480" s="122"/>
      <c r="E480" s="6" t="s">
        <v>142</v>
      </c>
      <c r="F480" s="18">
        <v>4377323</v>
      </c>
      <c r="G480" s="124">
        <v>0</v>
      </c>
      <c r="H480" s="125">
        <v>0</v>
      </c>
      <c r="I480" s="30">
        <v>8110</v>
      </c>
    </row>
    <row r="481" spans="1:9" s="47" customFormat="1" ht="60">
      <c r="A481" s="46"/>
      <c r="B481" s="46"/>
      <c r="C481" s="46"/>
      <c r="D481" s="122"/>
      <c r="E481" s="6" t="s">
        <v>143</v>
      </c>
      <c r="F481" s="18">
        <v>250000000</v>
      </c>
      <c r="G481" s="124">
        <v>98.8813116</v>
      </c>
      <c r="H481" s="125">
        <v>247203279</v>
      </c>
      <c r="I481" s="30">
        <v>250000</v>
      </c>
    </row>
    <row r="482" spans="1:9" s="47" customFormat="1" ht="105">
      <c r="A482" s="46"/>
      <c r="B482" s="46"/>
      <c r="C482" s="46"/>
      <c r="D482" s="122"/>
      <c r="E482" s="6" t="s">
        <v>25</v>
      </c>
      <c r="F482" s="18">
        <v>94734099</v>
      </c>
      <c r="G482" s="124">
        <v>92.93377350852306</v>
      </c>
      <c r="H482" s="125">
        <v>88039973</v>
      </c>
      <c r="I482" s="30">
        <v>200000</v>
      </c>
    </row>
    <row r="483" spans="1:9" s="47" customFormat="1" ht="45">
      <c r="A483" s="46"/>
      <c r="B483" s="46"/>
      <c r="C483" s="46"/>
      <c r="D483" s="122"/>
      <c r="E483" s="6" t="s">
        <v>144</v>
      </c>
      <c r="F483" s="18">
        <v>80000000</v>
      </c>
      <c r="G483" s="124">
        <v>98.1456375</v>
      </c>
      <c r="H483" s="125">
        <v>78516510</v>
      </c>
      <c r="I483" s="30">
        <v>150000</v>
      </c>
    </row>
    <row r="484" spans="1:9" s="47" customFormat="1" ht="45">
      <c r="A484" s="46"/>
      <c r="B484" s="46"/>
      <c r="C484" s="46"/>
      <c r="D484" s="122"/>
      <c r="E484" s="6" t="s">
        <v>145</v>
      </c>
      <c r="F484" s="18">
        <v>37193320</v>
      </c>
      <c r="G484" s="124">
        <v>36.9</v>
      </c>
      <c r="H484" s="125">
        <v>13720984</v>
      </c>
      <c r="I484" s="30">
        <f>10000000+2500000</f>
        <v>12500000</v>
      </c>
    </row>
    <row r="485" spans="1:9" s="47" customFormat="1" ht="45">
      <c r="A485" s="46"/>
      <c r="B485" s="46"/>
      <c r="C485" s="46"/>
      <c r="D485" s="122"/>
      <c r="E485" s="6" t="s">
        <v>362</v>
      </c>
      <c r="F485" s="18">
        <v>59774010</v>
      </c>
      <c r="G485" s="124">
        <v>1.5</v>
      </c>
      <c r="H485" s="125">
        <v>894994</v>
      </c>
      <c r="I485" s="30">
        <f>37708000+6740000</f>
        <v>44448000</v>
      </c>
    </row>
    <row r="486" spans="1:9" s="47" customFormat="1" ht="46.5" customHeight="1">
      <c r="A486" s="46"/>
      <c r="B486" s="46"/>
      <c r="C486" s="46"/>
      <c r="D486" s="122"/>
      <c r="E486" s="6" t="s">
        <v>146</v>
      </c>
      <c r="F486" s="18">
        <v>12544428</v>
      </c>
      <c r="G486" s="124">
        <v>96.5</v>
      </c>
      <c r="H486" s="125">
        <v>12103659</v>
      </c>
      <c r="I486" s="30">
        <v>100000</v>
      </c>
    </row>
    <row r="487" spans="1:9" s="47" customFormat="1" ht="70.5" customHeight="1">
      <c r="A487" s="46"/>
      <c r="B487" s="46"/>
      <c r="C487" s="46"/>
      <c r="D487" s="122"/>
      <c r="E487" s="6" t="s">
        <v>220</v>
      </c>
      <c r="F487" s="18">
        <v>8815865</v>
      </c>
      <c r="G487" s="124">
        <v>4.8</v>
      </c>
      <c r="H487" s="125">
        <v>426924</v>
      </c>
      <c r="I487" s="30">
        <v>3700000</v>
      </c>
    </row>
    <row r="488" spans="1:9" s="47" customFormat="1" ht="45">
      <c r="A488" s="46"/>
      <c r="B488" s="46"/>
      <c r="C488" s="46"/>
      <c r="D488" s="122"/>
      <c r="E488" s="6" t="s">
        <v>517</v>
      </c>
      <c r="F488" s="18">
        <v>56000000</v>
      </c>
      <c r="G488" s="124">
        <v>94.45260178571428</v>
      </c>
      <c r="H488" s="125">
        <v>52893457</v>
      </c>
      <c r="I488" s="30">
        <v>2506543</v>
      </c>
    </row>
    <row r="489" spans="1:9" s="47" customFormat="1" ht="60">
      <c r="A489" s="46"/>
      <c r="B489" s="46"/>
      <c r="C489" s="46"/>
      <c r="D489" s="122"/>
      <c r="E489" s="6" t="s">
        <v>26</v>
      </c>
      <c r="F489" s="18">
        <v>21420937</v>
      </c>
      <c r="G489" s="124">
        <v>7.104600513040116</v>
      </c>
      <c r="H489" s="125">
        <v>1521872</v>
      </c>
      <c r="I489" s="30">
        <v>500000</v>
      </c>
    </row>
    <row r="490" spans="1:9" s="47" customFormat="1" ht="45">
      <c r="A490" s="46"/>
      <c r="B490" s="46"/>
      <c r="C490" s="46"/>
      <c r="D490" s="122"/>
      <c r="E490" s="6" t="s">
        <v>147</v>
      </c>
      <c r="F490" s="18">
        <v>10000000</v>
      </c>
      <c r="G490" s="124">
        <v>98</v>
      </c>
      <c r="H490" s="125">
        <v>9800000</v>
      </c>
      <c r="I490" s="30">
        <v>200000</v>
      </c>
    </row>
    <row r="491" spans="1:9" s="47" customFormat="1" ht="15">
      <c r="A491" s="46"/>
      <c r="B491" s="46"/>
      <c r="C491" s="46"/>
      <c r="D491" s="122"/>
      <c r="E491" s="59" t="s">
        <v>522</v>
      </c>
      <c r="F491" s="18"/>
      <c r="G491" s="124"/>
      <c r="H491" s="125"/>
      <c r="I491" s="31"/>
    </row>
    <row r="492" spans="1:9" s="47" customFormat="1" ht="45">
      <c r="A492" s="46"/>
      <c r="B492" s="46"/>
      <c r="C492" s="46"/>
      <c r="D492" s="122"/>
      <c r="E492" s="6" t="s">
        <v>148</v>
      </c>
      <c r="F492" s="18">
        <v>1989690</v>
      </c>
      <c r="G492" s="124">
        <v>0</v>
      </c>
      <c r="H492" s="125">
        <v>0</v>
      </c>
      <c r="I492" s="30">
        <v>281610</v>
      </c>
    </row>
    <row r="493" spans="1:9" s="47" customFormat="1" ht="45">
      <c r="A493" s="46"/>
      <c r="B493" s="46"/>
      <c r="C493" s="46"/>
      <c r="D493" s="122"/>
      <c r="E493" s="6" t="s">
        <v>149</v>
      </c>
      <c r="F493" s="18">
        <v>1000000</v>
      </c>
      <c r="G493" s="124">
        <v>0</v>
      </c>
      <c r="H493" s="125">
        <v>0</v>
      </c>
      <c r="I493" s="30">
        <v>1000000</v>
      </c>
    </row>
    <row r="494" spans="1:9" s="47" customFormat="1" ht="15">
      <c r="A494" s="46"/>
      <c r="B494" s="46"/>
      <c r="C494" s="46"/>
      <c r="D494" s="122"/>
      <c r="E494" s="59" t="s">
        <v>356</v>
      </c>
      <c r="F494" s="18"/>
      <c r="G494" s="124"/>
      <c r="H494" s="125"/>
      <c r="I494" s="31"/>
    </row>
    <row r="495" spans="1:9" s="47" customFormat="1" ht="45">
      <c r="A495" s="46"/>
      <c r="B495" s="46"/>
      <c r="C495" s="46"/>
      <c r="D495" s="122"/>
      <c r="E495" s="6" t="s">
        <v>27</v>
      </c>
      <c r="F495" s="18">
        <v>10312312</v>
      </c>
      <c r="G495" s="124">
        <v>1.8</v>
      </c>
      <c r="H495" s="125">
        <v>185004</v>
      </c>
      <c r="I495" s="30">
        <f>6412000+800000</f>
        <v>7212000</v>
      </c>
    </row>
    <row r="496" spans="1:9" s="47" customFormat="1" ht="15">
      <c r="A496" s="46"/>
      <c r="B496" s="46"/>
      <c r="C496" s="46"/>
      <c r="D496" s="122"/>
      <c r="E496" s="59" t="s">
        <v>437</v>
      </c>
      <c r="F496" s="18"/>
      <c r="G496" s="124"/>
      <c r="H496" s="125"/>
      <c r="I496" s="30"/>
    </row>
    <row r="497" spans="1:9" s="47" customFormat="1" ht="45">
      <c r="A497" s="46"/>
      <c r="B497" s="46"/>
      <c r="C497" s="46"/>
      <c r="D497" s="122"/>
      <c r="E497" s="6" t="s">
        <v>58</v>
      </c>
      <c r="F497" s="18">
        <v>2005945</v>
      </c>
      <c r="G497" s="124">
        <v>0</v>
      </c>
      <c r="H497" s="125">
        <v>0</v>
      </c>
      <c r="I497" s="30">
        <v>100000</v>
      </c>
    </row>
    <row r="498" spans="1:9" s="47" customFormat="1" ht="15">
      <c r="A498" s="46"/>
      <c r="B498" s="46"/>
      <c r="C498" s="46"/>
      <c r="D498" s="122"/>
      <c r="E498" s="59" t="s">
        <v>462</v>
      </c>
      <c r="F498" s="18"/>
      <c r="G498" s="124"/>
      <c r="H498" s="125"/>
      <c r="I498" s="30"/>
    </row>
    <row r="499" spans="1:9" s="47" customFormat="1" ht="45">
      <c r="A499" s="46"/>
      <c r="B499" s="46"/>
      <c r="C499" s="46"/>
      <c r="D499" s="122"/>
      <c r="E499" s="6" t="s">
        <v>420</v>
      </c>
      <c r="F499" s="18">
        <v>131157206</v>
      </c>
      <c r="G499" s="124">
        <v>98.83103411031796</v>
      </c>
      <c r="H499" s="125">
        <v>129624023</v>
      </c>
      <c r="I499" s="30">
        <v>296115</v>
      </c>
    </row>
    <row r="500" spans="1:9" s="47" customFormat="1" ht="15">
      <c r="A500" s="46"/>
      <c r="B500" s="46"/>
      <c r="C500" s="46"/>
      <c r="D500" s="122"/>
      <c r="E500" s="59" t="s">
        <v>507</v>
      </c>
      <c r="F500" s="18"/>
      <c r="G500" s="124"/>
      <c r="H500" s="125"/>
      <c r="I500" s="30"/>
    </row>
    <row r="501" spans="1:9" s="47" customFormat="1" ht="48" customHeight="1">
      <c r="A501" s="46"/>
      <c r="B501" s="46"/>
      <c r="C501" s="46"/>
      <c r="D501" s="122"/>
      <c r="E501" s="6" t="s">
        <v>221</v>
      </c>
      <c r="F501" s="18">
        <v>12533734</v>
      </c>
      <c r="G501" s="124">
        <v>46.3</v>
      </c>
      <c r="H501" s="125">
        <v>5806694</v>
      </c>
      <c r="I501" s="30">
        <v>2100000</v>
      </c>
    </row>
    <row r="502" spans="1:9" s="47" customFormat="1" ht="15">
      <c r="A502" s="46"/>
      <c r="B502" s="46"/>
      <c r="C502" s="46"/>
      <c r="D502" s="122"/>
      <c r="E502" s="80" t="s">
        <v>378</v>
      </c>
      <c r="F502" s="18"/>
      <c r="G502" s="124"/>
      <c r="H502" s="125"/>
      <c r="I502" s="30"/>
    </row>
    <row r="503" spans="1:9" s="47" customFormat="1" ht="75">
      <c r="A503" s="46"/>
      <c r="B503" s="46"/>
      <c r="C503" s="46"/>
      <c r="D503" s="122"/>
      <c r="E503" s="6" t="s">
        <v>150</v>
      </c>
      <c r="F503" s="18">
        <v>3224867</v>
      </c>
      <c r="G503" s="124">
        <v>96.89909692399718</v>
      </c>
      <c r="H503" s="125">
        <v>3124867</v>
      </c>
      <c r="I503" s="30">
        <v>100000</v>
      </c>
    </row>
    <row r="504" spans="1:9" s="47" customFormat="1" ht="27.75" customHeight="1">
      <c r="A504" s="46" t="s">
        <v>383</v>
      </c>
      <c r="B504" s="46" t="s">
        <v>384</v>
      </c>
      <c r="C504" s="46" t="s">
        <v>609</v>
      </c>
      <c r="D504" s="122" t="s">
        <v>385</v>
      </c>
      <c r="E504" s="9"/>
      <c r="F504" s="18"/>
      <c r="G504" s="40"/>
      <c r="H504" s="22"/>
      <c r="I504" s="30">
        <f>I506+I508</f>
        <v>2640140</v>
      </c>
    </row>
    <row r="505" spans="1:9" s="47" customFormat="1" ht="15">
      <c r="A505" s="46"/>
      <c r="B505" s="46"/>
      <c r="C505" s="46"/>
      <c r="D505" s="122"/>
      <c r="E505" s="59" t="s">
        <v>522</v>
      </c>
      <c r="F505" s="18"/>
      <c r="G505" s="40"/>
      <c r="H505" s="22"/>
      <c r="I505" s="30"/>
    </row>
    <row r="506" spans="1:9" s="47" customFormat="1" ht="45">
      <c r="A506" s="46"/>
      <c r="B506" s="46"/>
      <c r="C506" s="46"/>
      <c r="D506" s="122"/>
      <c r="E506" s="6" t="s">
        <v>438</v>
      </c>
      <c r="F506" s="18">
        <v>140590843</v>
      </c>
      <c r="G506" s="124">
        <v>97.7</v>
      </c>
      <c r="H506" s="125">
        <v>137691817</v>
      </c>
      <c r="I506" s="30">
        <v>1000000</v>
      </c>
    </row>
    <row r="507" spans="1:9" s="47" customFormat="1" ht="15">
      <c r="A507" s="46"/>
      <c r="B507" s="46"/>
      <c r="C507" s="46"/>
      <c r="D507" s="122"/>
      <c r="E507" s="172" t="s">
        <v>378</v>
      </c>
      <c r="F507" s="18"/>
      <c r="G507" s="40"/>
      <c r="H507" s="22"/>
      <c r="I507" s="30"/>
    </row>
    <row r="508" spans="1:9" s="47" customFormat="1" ht="75">
      <c r="A508" s="46"/>
      <c r="B508" s="46"/>
      <c r="C508" s="46"/>
      <c r="D508" s="170"/>
      <c r="E508" s="173" t="s">
        <v>222</v>
      </c>
      <c r="F508" s="171">
        <v>8229715</v>
      </c>
      <c r="G508" s="42"/>
      <c r="H508" s="43"/>
      <c r="I508" s="30">
        <v>1640140</v>
      </c>
    </row>
    <row r="509" spans="1:9" s="47" customFormat="1" ht="21" customHeight="1">
      <c r="A509" s="46" t="s">
        <v>386</v>
      </c>
      <c r="B509" s="46" t="s">
        <v>387</v>
      </c>
      <c r="C509" s="46" t="s">
        <v>609</v>
      </c>
      <c r="D509" s="122" t="s">
        <v>388</v>
      </c>
      <c r="E509" s="161"/>
      <c r="F509" s="22"/>
      <c r="G509" s="40"/>
      <c r="H509" s="22"/>
      <c r="I509" s="30">
        <f>I511+I513+I515</f>
        <v>7300001</v>
      </c>
    </row>
    <row r="510" spans="1:9" s="47" customFormat="1" ht="18.75" customHeight="1">
      <c r="A510" s="46"/>
      <c r="B510" s="46"/>
      <c r="C510" s="46"/>
      <c r="D510" s="122"/>
      <c r="E510" s="59" t="s">
        <v>462</v>
      </c>
      <c r="F510" s="22"/>
      <c r="G510" s="124"/>
      <c r="H510" s="125"/>
      <c r="I510" s="30"/>
    </row>
    <row r="511" spans="1:9" s="47" customFormat="1" ht="42" customHeight="1">
      <c r="A511" s="46"/>
      <c r="B511" s="46"/>
      <c r="C511" s="46"/>
      <c r="D511" s="122"/>
      <c r="E511" s="6" t="s">
        <v>389</v>
      </c>
      <c r="F511" s="18">
        <v>58294842</v>
      </c>
      <c r="G511" s="124">
        <v>88</v>
      </c>
      <c r="H511" s="125">
        <v>51294842</v>
      </c>
      <c r="I511" s="30">
        <v>2000000</v>
      </c>
    </row>
    <row r="512" spans="1:9" s="47" customFormat="1" ht="15">
      <c r="A512" s="46"/>
      <c r="B512" s="46"/>
      <c r="C512" s="46"/>
      <c r="D512" s="122"/>
      <c r="E512" s="59" t="s">
        <v>464</v>
      </c>
      <c r="F512" s="18"/>
      <c r="G512" s="124"/>
      <c r="H512" s="125"/>
      <c r="I512" s="30"/>
    </row>
    <row r="513" spans="1:9" s="47" customFormat="1" ht="30">
      <c r="A513" s="46"/>
      <c r="B513" s="46"/>
      <c r="C513" s="46"/>
      <c r="D513" s="122"/>
      <c r="E513" s="6" t="s">
        <v>390</v>
      </c>
      <c r="F513" s="18">
        <v>33291309</v>
      </c>
      <c r="G513" s="124">
        <v>19.2</v>
      </c>
      <c r="H513" s="125">
        <v>6389841</v>
      </c>
      <c r="I513" s="30">
        <v>5000000</v>
      </c>
    </row>
    <row r="514" spans="1:9" s="47" customFormat="1" ht="15">
      <c r="A514" s="46"/>
      <c r="B514" s="46"/>
      <c r="C514" s="46"/>
      <c r="D514" s="122"/>
      <c r="E514" s="80" t="s">
        <v>542</v>
      </c>
      <c r="F514" s="18"/>
      <c r="G514" s="124"/>
      <c r="H514" s="125"/>
      <c r="I514" s="30"/>
    </row>
    <row r="515" spans="1:9" s="47" customFormat="1" ht="30">
      <c r="A515" s="46"/>
      <c r="B515" s="46"/>
      <c r="C515" s="46"/>
      <c r="D515" s="122"/>
      <c r="E515" s="6" t="s">
        <v>543</v>
      </c>
      <c r="F515" s="18">
        <v>4006444</v>
      </c>
      <c r="G515" s="124">
        <v>72.5</v>
      </c>
      <c r="H515" s="125">
        <v>2906443</v>
      </c>
      <c r="I515" s="30">
        <v>300001</v>
      </c>
    </row>
    <row r="516" spans="1:9" s="47" customFormat="1" ht="34.5" customHeight="1">
      <c r="A516" s="46" t="s">
        <v>391</v>
      </c>
      <c r="B516" s="46" t="s">
        <v>738</v>
      </c>
      <c r="C516" s="46" t="s">
        <v>609</v>
      </c>
      <c r="D516" s="122" t="s">
        <v>739</v>
      </c>
      <c r="E516" s="9"/>
      <c r="F516" s="22"/>
      <c r="G516" s="40"/>
      <c r="H516" s="22"/>
      <c r="I516" s="30">
        <f>SUM(I518:I578)-I551-I525-I519</f>
        <v>145520904</v>
      </c>
    </row>
    <row r="517" spans="1:9" s="47" customFormat="1" ht="15">
      <c r="A517" s="46"/>
      <c r="B517" s="46"/>
      <c r="C517" s="46"/>
      <c r="D517" s="122"/>
      <c r="E517" s="59" t="s">
        <v>521</v>
      </c>
      <c r="F517" s="22"/>
      <c r="G517" s="40"/>
      <c r="H517" s="22"/>
      <c r="I517" s="30"/>
    </row>
    <row r="518" spans="1:9" s="47" customFormat="1" ht="30">
      <c r="A518" s="46"/>
      <c r="B518" s="46"/>
      <c r="C518" s="46"/>
      <c r="D518" s="122"/>
      <c r="E518" s="6" t="s">
        <v>701</v>
      </c>
      <c r="F518" s="18">
        <v>3398051</v>
      </c>
      <c r="G518" s="124">
        <v>0.04152380290937364</v>
      </c>
      <c r="H518" s="125">
        <v>0</v>
      </c>
      <c r="I518" s="30">
        <v>350000</v>
      </c>
    </row>
    <row r="519" spans="1:9" s="47" customFormat="1" ht="15">
      <c r="A519" s="46"/>
      <c r="B519" s="46"/>
      <c r="C519" s="46"/>
      <c r="D519" s="122"/>
      <c r="E519" s="6" t="s">
        <v>237</v>
      </c>
      <c r="F519" s="18"/>
      <c r="G519" s="124"/>
      <c r="H519" s="125"/>
      <c r="I519" s="31">
        <v>1411</v>
      </c>
    </row>
    <row r="520" spans="1:9" s="47" customFormat="1" ht="30">
      <c r="A520" s="46"/>
      <c r="B520" s="46"/>
      <c r="C520" s="46"/>
      <c r="D520" s="122"/>
      <c r="E520" s="6" t="s">
        <v>151</v>
      </c>
      <c r="F520" s="18">
        <v>2828853</v>
      </c>
      <c r="G520" s="124">
        <v>0.7</v>
      </c>
      <c r="H520" s="125">
        <v>20983</v>
      </c>
      <c r="I520" s="30">
        <f>526338+60000</f>
        <v>586338</v>
      </c>
    </row>
    <row r="521" spans="1:9" s="47" customFormat="1" ht="45">
      <c r="A521" s="46"/>
      <c r="B521" s="46"/>
      <c r="C521" s="46"/>
      <c r="D521" s="122"/>
      <c r="E521" s="6" t="s">
        <v>223</v>
      </c>
      <c r="F521" s="18">
        <v>5033627</v>
      </c>
      <c r="G521" s="124">
        <v>0</v>
      </c>
      <c r="H521" s="125">
        <v>0</v>
      </c>
      <c r="I521" s="30">
        <v>1346788</v>
      </c>
    </row>
    <row r="522" spans="1:9" s="47" customFormat="1" ht="30">
      <c r="A522" s="46"/>
      <c r="B522" s="46"/>
      <c r="C522" s="46"/>
      <c r="D522" s="122"/>
      <c r="E522" s="6" t="s">
        <v>706</v>
      </c>
      <c r="F522" s="18">
        <v>10000000</v>
      </c>
      <c r="G522" s="124">
        <v>84.3566</v>
      </c>
      <c r="H522" s="125">
        <v>8435660</v>
      </c>
      <c r="I522" s="30">
        <v>1564340</v>
      </c>
    </row>
    <row r="523" spans="1:9" s="47" customFormat="1" ht="30">
      <c r="A523" s="46"/>
      <c r="B523" s="46"/>
      <c r="C523" s="46"/>
      <c r="D523" s="122"/>
      <c r="E523" s="6" t="s">
        <v>152</v>
      </c>
      <c r="F523" s="18">
        <v>179493002</v>
      </c>
      <c r="G523" s="124">
        <v>82.7</v>
      </c>
      <c r="H523" s="125">
        <v>148511732</v>
      </c>
      <c r="I523" s="30">
        <f>14980000+2520000</f>
        <v>17500000</v>
      </c>
    </row>
    <row r="524" spans="1:9" s="47" customFormat="1" ht="30">
      <c r="A524" s="46"/>
      <c r="B524" s="46"/>
      <c r="C524" s="46"/>
      <c r="D524" s="122"/>
      <c r="E524" s="6" t="s">
        <v>153</v>
      </c>
      <c r="F524" s="18">
        <v>114613</v>
      </c>
      <c r="G524" s="124">
        <v>0</v>
      </c>
      <c r="H524" s="125">
        <v>0</v>
      </c>
      <c r="I524" s="30">
        <v>4813</v>
      </c>
    </row>
    <row r="525" spans="1:9" s="47" customFormat="1" ht="15">
      <c r="A525" s="46"/>
      <c r="B525" s="46"/>
      <c r="C525" s="46"/>
      <c r="D525" s="122"/>
      <c r="E525" s="6" t="s">
        <v>237</v>
      </c>
      <c r="F525" s="18"/>
      <c r="G525" s="124"/>
      <c r="H525" s="125"/>
      <c r="I525" s="31">
        <v>4813</v>
      </c>
    </row>
    <row r="526" spans="1:9" s="47" customFormat="1" ht="75">
      <c r="A526" s="46"/>
      <c r="B526" s="46"/>
      <c r="C526" s="46"/>
      <c r="D526" s="122"/>
      <c r="E526" s="6" t="s">
        <v>154</v>
      </c>
      <c r="F526" s="18">
        <v>4162032</v>
      </c>
      <c r="G526" s="124"/>
      <c r="H526" s="125"/>
      <c r="I526" s="30">
        <v>600000</v>
      </c>
    </row>
    <row r="527" spans="1:9" s="47" customFormat="1" ht="15">
      <c r="A527" s="46"/>
      <c r="B527" s="46"/>
      <c r="C527" s="46"/>
      <c r="D527" s="122"/>
      <c r="E527" s="59" t="s">
        <v>352</v>
      </c>
      <c r="F527" s="18"/>
      <c r="G527" s="124"/>
      <c r="H527" s="125"/>
      <c r="I527" s="30"/>
    </row>
    <row r="528" spans="1:9" s="47" customFormat="1" ht="30">
      <c r="A528" s="46"/>
      <c r="B528" s="46"/>
      <c r="C528" s="46"/>
      <c r="D528" s="122"/>
      <c r="E528" s="6" t="s">
        <v>439</v>
      </c>
      <c r="F528" s="18">
        <v>30277409</v>
      </c>
      <c r="G528" s="124">
        <v>32.6</v>
      </c>
      <c r="H528" s="125">
        <v>9867661</v>
      </c>
      <c r="I528" s="30">
        <f>15000000+5000000</f>
        <v>20000000</v>
      </c>
    </row>
    <row r="529" spans="1:9" s="47" customFormat="1" ht="30">
      <c r="A529" s="46"/>
      <c r="B529" s="46"/>
      <c r="C529" s="46"/>
      <c r="D529" s="122"/>
      <c r="E529" s="6" t="s">
        <v>544</v>
      </c>
      <c r="F529" s="18">
        <v>20094787</v>
      </c>
      <c r="G529" s="124"/>
      <c r="H529" s="125"/>
      <c r="I529" s="30">
        <f>19000000+1000000</f>
        <v>20000000</v>
      </c>
    </row>
    <row r="530" spans="1:9" s="47" customFormat="1" ht="15">
      <c r="A530" s="46"/>
      <c r="B530" s="46"/>
      <c r="C530" s="46"/>
      <c r="D530" s="122"/>
      <c r="E530" s="59" t="s">
        <v>356</v>
      </c>
      <c r="F530" s="18"/>
      <c r="G530" s="124"/>
      <c r="H530" s="125"/>
      <c r="I530" s="30"/>
    </row>
    <row r="531" spans="1:9" s="47" customFormat="1" ht="45">
      <c r="A531" s="46"/>
      <c r="B531" s="46"/>
      <c r="C531" s="46"/>
      <c r="D531" s="122"/>
      <c r="E531" s="6" t="s">
        <v>224</v>
      </c>
      <c r="F531" s="18">
        <v>78322367</v>
      </c>
      <c r="G531" s="124">
        <v>98.57530097373079</v>
      </c>
      <c r="H531" s="125">
        <v>77212734</v>
      </c>
      <c r="I531" s="30">
        <v>100000</v>
      </c>
    </row>
    <row r="532" spans="1:9" s="47" customFormat="1" ht="45">
      <c r="A532" s="46"/>
      <c r="B532" s="46"/>
      <c r="C532" s="46"/>
      <c r="D532" s="122"/>
      <c r="E532" s="6" t="s">
        <v>225</v>
      </c>
      <c r="F532" s="18">
        <v>60000000</v>
      </c>
      <c r="G532" s="124">
        <v>82.4</v>
      </c>
      <c r="H532" s="125">
        <v>49465307</v>
      </c>
      <c r="I532" s="30">
        <f>3708000+6740000</f>
        <v>10448000</v>
      </c>
    </row>
    <row r="533" spans="1:9" s="47" customFormat="1" ht="45">
      <c r="A533" s="46"/>
      <c r="B533" s="46"/>
      <c r="C533" s="46"/>
      <c r="D533" s="122"/>
      <c r="E533" s="6" t="s">
        <v>28</v>
      </c>
      <c r="F533" s="18">
        <v>500000</v>
      </c>
      <c r="G533" s="124">
        <v>90</v>
      </c>
      <c r="H533" s="125">
        <v>450000</v>
      </c>
      <c r="I533" s="30">
        <v>50000</v>
      </c>
    </row>
    <row r="534" spans="1:9" s="47" customFormat="1" ht="30">
      <c r="A534" s="46"/>
      <c r="B534" s="46"/>
      <c r="C534" s="46"/>
      <c r="D534" s="122"/>
      <c r="E534" s="6" t="s">
        <v>29</v>
      </c>
      <c r="F534" s="18">
        <v>500000</v>
      </c>
      <c r="G534" s="124">
        <v>98</v>
      </c>
      <c r="H534" s="125">
        <v>490000</v>
      </c>
      <c r="I534" s="30">
        <v>10000</v>
      </c>
    </row>
    <row r="535" spans="1:9" s="47" customFormat="1" ht="15">
      <c r="A535" s="46"/>
      <c r="B535" s="46"/>
      <c r="C535" s="46"/>
      <c r="D535" s="122"/>
      <c r="E535" s="80" t="s">
        <v>357</v>
      </c>
      <c r="F535" s="18"/>
      <c r="G535" s="124"/>
      <c r="H535" s="125"/>
      <c r="I535" s="30"/>
    </row>
    <row r="536" spans="1:9" s="47" customFormat="1" ht="45">
      <c r="A536" s="46"/>
      <c r="B536" s="46"/>
      <c r="C536" s="46"/>
      <c r="D536" s="122"/>
      <c r="E536" s="6" t="s">
        <v>30</v>
      </c>
      <c r="F536" s="18">
        <v>100000</v>
      </c>
      <c r="G536" s="124">
        <v>0</v>
      </c>
      <c r="H536" s="125">
        <v>0</v>
      </c>
      <c r="I536" s="30">
        <v>100000</v>
      </c>
    </row>
    <row r="537" spans="1:9" s="47" customFormat="1" ht="15">
      <c r="A537" s="46"/>
      <c r="B537" s="46"/>
      <c r="C537" s="46"/>
      <c r="D537" s="122"/>
      <c r="E537" s="59" t="s">
        <v>461</v>
      </c>
      <c r="F537" s="18"/>
      <c r="G537" s="124"/>
      <c r="H537" s="125"/>
      <c r="I537" s="30"/>
    </row>
    <row r="538" spans="1:9" s="47" customFormat="1" ht="30">
      <c r="A538" s="46"/>
      <c r="B538" s="46"/>
      <c r="C538" s="46"/>
      <c r="D538" s="122"/>
      <c r="E538" s="96" t="s">
        <v>31</v>
      </c>
      <c r="F538" s="18">
        <v>29000000</v>
      </c>
      <c r="G538" s="124">
        <v>96.3</v>
      </c>
      <c r="H538" s="125">
        <v>27934684</v>
      </c>
      <c r="I538" s="30">
        <f>5000000-4510000</f>
        <v>490000</v>
      </c>
    </row>
    <row r="539" spans="1:9" s="47" customFormat="1" ht="15">
      <c r="A539" s="46"/>
      <c r="B539" s="46"/>
      <c r="C539" s="46"/>
      <c r="D539" s="122"/>
      <c r="E539" s="59" t="s">
        <v>510</v>
      </c>
      <c r="F539" s="18"/>
      <c r="G539" s="124"/>
      <c r="H539" s="125"/>
      <c r="I539" s="30"/>
    </row>
    <row r="540" spans="1:9" s="47" customFormat="1" ht="45">
      <c r="A540" s="46"/>
      <c r="B540" s="46"/>
      <c r="C540" s="46"/>
      <c r="D540" s="122"/>
      <c r="E540" s="6" t="s">
        <v>32</v>
      </c>
      <c r="F540" s="18">
        <v>65025240</v>
      </c>
      <c r="G540" s="124">
        <v>97.72594457167709</v>
      </c>
      <c r="H540" s="125">
        <v>63546530</v>
      </c>
      <c r="I540" s="30">
        <v>818688</v>
      </c>
    </row>
    <row r="541" spans="1:9" s="47" customFormat="1" ht="15">
      <c r="A541" s="46"/>
      <c r="B541" s="46"/>
      <c r="C541" s="46"/>
      <c r="D541" s="122"/>
      <c r="E541" s="59" t="s">
        <v>511</v>
      </c>
      <c r="F541" s="18"/>
      <c r="G541" s="124"/>
      <c r="H541" s="125"/>
      <c r="I541" s="30"/>
    </row>
    <row r="542" spans="1:9" s="47" customFormat="1" ht="15">
      <c r="A542" s="46"/>
      <c r="B542" s="46"/>
      <c r="C542" s="46"/>
      <c r="D542" s="122"/>
      <c r="E542" s="6" t="s">
        <v>740</v>
      </c>
      <c r="F542" s="18">
        <v>27007627</v>
      </c>
      <c r="G542" s="124">
        <v>87.3</v>
      </c>
      <c r="H542" s="125">
        <v>23575146</v>
      </c>
      <c r="I542" s="30">
        <v>100000</v>
      </c>
    </row>
    <row r="543" spans="1:9" s="47" customFormat="1" ht="15">
      <c r="A543" s="46"/>
      <c r="B543" s="46"/>
      <c r="C543" s="46"/>
      <c r="D543" s="122"/>
      <c r="E543" s="59" t="s">
        <v>533</v>
      </c>
      <c r="F543" s="18"/>
      <c r="G543" s="124"/>
      <c r="H543" s="125"/>
      <c r="I543" s="30"/>
    </row>
    <row r="544" spans="1:9" s="47" customFormat="1" ht="30">
      <c r="A544" s="46"/>
      <c r="B544" s="46"/>
      <c r="C544" s="46"/>
      <c r="D544" s="122"/>
      <c r="E544" s="6" t="s">
        <v>741</v>
      </c>
      <c r="F544" s="18">
        <v>30000000</v>
      </c>
      <c r="G544" s="124">
        <v>98.17042333333333</v>
      </c>
      <c r="H544" s="125">
        <v>29451127</v>
      </c>
      <c r="I544" s="30">
        <v>414211</v>
      </c>
    </row>
    <row r="545" spans="1:9" s="47" customFormat="1" ht="15">
      <c r="A545" s="46"/>
      <c r="B545" s="46"/>
      <c r="C545" s="46"/>
      <c r="D545" s="122"/>
      <c r="E545" s="59" t="s">
        <v>437</v>
      </c>
      <c r="F545" s="18"/>
      <c r="G545" s="124"/>
      <c r="H545" s="125"/>
      <c r="I545" s="30"/>
    </row>
    <row r="546" spans="1:9" s="47" customFormat="1" ht="60">
      <c r="A546" s="46"/>
      <c r="B546" s="46"/>
      <c r="C546" s="46"/>
      <c r="D546" s="122"/>
      <c r="E546" s="6" t="s">
        <v>34</v>
      </c>
      <c r="F546" s="18">
        <v>39551277</v>
      </c>
      <c r="G546" s="124">
        <v>96.9</v>
      </c>
      <c r="H546" s="125">
        <v>38321633</v>
      </c>
      <c r="I546" s="30">
        <v>233298</v>
      </c>
    </row>
    <row r="547" spans="1:9" s="47" customFormat="1" ht="45">
      <c r="A547" s="46"/>
      <c r="B547" s="46"/>
      <c r="C547" s="46"/>
      <c r="D547" s="122"/>
      <c r="E547" s="6" t="s">
        <v>33</v>
      </c>
      <c r="F547" s="18">
        <v>33994594</v>
      </c>
      <c r="G547" s="124">
        <v>32.2</v>
      </c>
      <c r="H547" s="125">
        <v>10959211</v>
      </c>
      <c r="I547" s="30">
        <f>17649000+4550000</f>
        <v>22199000</v>
      </c>
    </row>
    <row r="548" spans="1:9" s="47" customFormat="1" ht="15">
      <c r="A548" s="46"/>
      <c r="B548" s="46"/>
      <c r="C548" s="46"/>
      <c r="D548" s="122"/>
      <c r="E548" s="59" t="s">
        <v>462</v>
      </c>
      <c r="F548" s="18"/>
      <c r="G548" s="124"/>
      <c r="H548" s="125"/>
      <c r="I548" s="30"/>
    </row>
    <row r="549" spans="1:9" s="47" customFormat="1" ht="30">
      <c r="A549" s="46"/>
      <c r="B549" s="46"/>
      <c r="C549" s="46"/>
      <c r="D549" s="122"/>
      <c r="E549" s="96" t="s">
        <v>668</v>
      </c>
      <c r="F549" s="18">
        <v>15000000</v>
      </c>
      <c r="G549" s="124">
        <v>80</v>
      </c>
      <c r="H549" s="125">
        <v>12000000</v>
      </c>
      <c r="I549" s="30">
        <f>1000000+2000000</f>
        <v>3000000</v>
      </c>
    </row>
    <row r="550" spans="1:9" s="47" customFormat="1" ht="38.25" customHeight="1">
      <c r="A550" s="46"/>
      <c r="B550" s="46"/>
      <c r="C550" s="46"/>
      <c r="D550" s="122"/>
      <c r="E550" s="6" t="s">
        <v>251</v>
      </c>
      <c r="F550" s="18">
        <v>55817878</v>
      </c>
      <c r="G550" s="124">
        <v>1.7501059427590566</v>
      </c>
      <c r="H550" s="125">
        <v>976872</v>
      </c>
      <c r="I550" s="30">
        <v>15007081</v>
      </c>
    </row>
    <row r="551" spans="1:9" s="47" customFormat="1" ht="15">
      <c r="A551" s="46"/>
      <c r="B551" s="46"/>
      <c r="C551" s="46"/>
      <c r="D551" s="122"/>
      <c r="E551" s="9" t="s">
        <v>237</v>
      </c>
      <c r="F551" s="22"/>
      <c r="G551" s="126"/>
      <c r="H551" s="127"/>
      <c r="I551" s="31">
        <v>7081</v>
      </c>
    </row>
    <row r="552" spans="1:9" s="47" customFormat="1" ht="45">
      <c r="A552" s="46"/>
      <c r="B552" s="46"/>
      <c r="C552" s="46"/>
      <c r="D552" s="122"/>
      <c r="E552" s="6" t="s">
        <v>742</v>
      </c>
      <c r="F552" s="18">
        <v>125772467</v>
      </c>
      <c r="G552" s="124">
        <v>90.1</v>
      </c>
      <c r="H552" s="125">
        <v>113303114</v>
      </c>
      <c r="I552" s="30">
        <f>10100000-10000000</f>
        <v>100000</v>
      </c>
    </row>
    <row r="553" spans="1:9" s="47" customFormat="1" ht="60">
      <c r="A553" s="46"/>
      <c r="B553" s="46"/>
      <c r="C553" s="46"/>
      <c r="D553" s="122"/>
      <c r="E553" s="6" t="s">
        <v>226</v>
      </c>
      <c r="F553" s="18">
        <v>9379774</v>
      </c>
      <c r="G553" s="124">
        <v>3.8</v>
      </c>
      <c r="H553" s="125">
        <v>355076</v>
      </c>
      <c r="I553" s="30">
        <v>1450000</v>
      </c>
    </row>
    <row r="554" spans="1:9" s="47" customFormat="1" ht="15">
      <c r="A554" s="46"/>
      <c r="B554" s="46"/>
      <c r="C554" s="46"/>
      <c r="D554" s="122"/>
      <c r="E554" s="59" t="s">
        <v>697</v>
      </c>
      <c r="F554" s="18"/>
      <c r="G554" s="124"/>
      <c r="H554" s="125"/>
      <c r="I554" s="30"/>
    </row>
    <row r="555" spans="1:9" s="47" customFormat="1" ht="30">
      <c r="A555" s="46"/>
      <c r="B555" s="46"/>
      <c r="C555" s="46"/>
      <c r="D555" s="122"/>
      <c r="E555" s="6" t="s">
        <v>743</v>
      </c>
      <c r="F555" s="18">
        <v>31405831</v>
      </c>
      <c r="G555" s="124">
        <v>98</v>
      </c>
      <c r="H555" s="125">
        <v>30764581</v>
      </c>
      <c r="I555" s="30">
        <v>100000</v>
      </c>
    </row>
    <row r="556" spans="1:9" s="47" customFormat="1" ht="45">
      <c r="A556" s="46"/>
      <c r="B556" s="46"/>
      <c r="C556" s="46"/>
      <c r="D556" s="122"/>
      <c r="E556" s="6" t="s">
        <v>155</v>
      </c>
      <c r="F556" s="18">
        <v>3090617</v>
      </c>
      <c r="G556" s="124">
        <v>92.38550101808151</v>
      </c>
      <c r="H556" s="125">
        <v>2855606</v>
      </c>
      <c r="I556" s="30">
        <v>100000</v>
      </c>
    </row>
    <row r="557" spans="1:9" s="47" customFormat="1" ht="17.25" customHeight="1">
      <c r="A557" s="46"/>
      <c r="B557" s="46"/>
      <c r="C557" s="46"/>
      <c r="D557" s="122"/>
      <c r="E557" s="59" t="s">
        <v>698</v>
      </c>
      <c r="F557" s="18"/>
      <c r="G557" s="124"/>
      <c r="H557" s="125"/>
      <c r="I557" s="30"/>
    </row>
    <row r="558" spans="1:9" s="47" customFormat="1" ht="45.75" customHeight="1">
      <c r="A558" s="46"/>
      <c r="B558" s="46"/>
      <c r="C558" s="46"/>
      <c r="D558" s="122"/>
      <c r="E558" s="96" t="s">
        <v>156</v>
      </c>
      <c r="F558" s="18">
        <v>12813486</v>
      </c>
      <c r="G558" s="124">
        <v>95.22824623993814</v>
      </c>
      <c r="H558" s="125">
        <v>12202058</v>
      </c>
      <c r="I558" s="30">
        <v>100000</v>
      </c>
    </row>
    <row r="559" spans="1:9" s="47" customFormat="1" ht="15">
      <c r="A559" s="46"/>
      <c r="B559" s="46"/>
      <c r="C559" s="46"/>
      <c r="D559" s="122"/>
      <c r="E559" s="59" t="s">
        <v>527</v>
      </c>
      <c r="F559" s="18"/>
      <c r="G559" s="124"/>
      <c r="H559" s="125"/>
      <c r="I559" s="30"/>
    </row>
    <row r="560" spans="1:9" s="47" customFormat="1" ht="30">
      <c r="A560" s="46"/>
      <c r="B560" s="46"/>
      <c r="C560" s="46"/>
      <c r="D560" s="122"/>
      <c r="E560" s="6" t="s">
        <v>744</v>
      </c>
      <c r="F560" s="18">
        <v>23052247</v>
      </c>
      <c r="G560" s="124">
        <v>79.5</v>
      </c>
      <c r="H560" s="125">
        <v>18336849</v>
      </c>
      <c r="I560" s="30">
        <f>1000000+3370000</f>
        <v>4370000</v>
      </c>
    </row>
    <row r="561" spans="1:9" s="47" customFormat="1" ht="15">
      <c r="A561" s="46"/>
      <c r="B561" s="46"/>
      <c r="C561" s="46"/>
      <c r="D561" s="122"/>
      <c r="E561" s="59" t="s">
        <v>370</v>
      </c>
      <c r="F561" s="18"/>
      <c r="G561" s="124"/>
      <c r="H561" s="125"/>
      <c r="I561" s="30"/>
    </row>
    <row r="562" spans="1:9" s="47" customFormat="1" ht="45">
      <c r="A562" s="46"/>
      <c r="B562" s="46"/>
      <c r="C562" s="46"/>
      <c r="D562" s="122"/>
      <c r="E562" s="6" t="s">
        <v>426</v>
      </c>
      <c r="F562" s="18">
        <v>25000000</v>
      </c>
      <c r="G562" s="124">
        <v>94.9</v>
      </c>
      <c r="H562" s="125">
        <v>23725771</v>
      </c>
      <c r="I562" s="30">
        <v>885346</v>
      </c>
    </row>
    <row r="563" spans="1:9" s="47" customFormat="1" ht="15">
      <c r="A563" s="46"/>
      <c r="B563" s="46"/>
      <c r="C563" s="46"/>
      <c r="D563" s="122"/>
      <c r="E563" s="59" t="s">
        <v>371</v>
      </c>
      <c r="F563" s="18"/>
      <c r="G563" s="124"/>
      <c r="H563" s="125"/>
      <c r="I563" s="30"/>
    </row>
    <row r="564" spans="1:9" s="47" customFormat="1" ht="30">
      <c r="A564" s="46"/>
      <c r="B564" s="46"/>
      <c r="C564" s="46"/>
      <c r="D564" s="122"/>
      <c r="E564" s="6" t="s">
        <v>745</v>
      </c>
      <c r="F564" s="18">
        <v>27657168</v>
      </c>
      <c r="G564" s="124">
        <v>97.5</v>
      </c>
      <c r="H564" s="125">
        <v>26976198</v>
      </c>
      <c r="I564" s="30">
        <v>100000</v>
      </c>
    </row>
    <row r="565" spans="1:9" s="47" customFormat="1" ht="43.5" customHeight="1">
      <c r="A565" s="46"/>
      <c r="B565" s="46"/>
      <c r="C565" s="46"/>
      <c r="D565" s="122"/>
      <c r="E565" s="6" t="s">
        <v>670</v>
      </c>
      <c r="F565" s="18">
        <v>41125464</v>
      </c>
      <c r="G565" s="124">
        <v>77.1</v>
      </c>
      <c r="H565" s="125">
        <v>31711467</v>
      </c>
      <c r="I565" s="30">
        <v>5000000</v>
      </c>
    </row>
    <row r="566" spans="1:9" s="47" customFormat="1" ht="15">
      <c r="A566" s="46"/>
      <c r="B566" s="46"/>
      <c r="C566" s="46"/>
      <c r="D566" s="122"/>
      <c r="E566" s="80" t="s">
        <v>372</v>
      </c>
      <c r="F566" s="18"/>
      <c r="G566" s="124"/>
      <c r="H566" s="125"/>
      <c r="I566" s="30"/>
    </row>
    <row r="567" spans="1:9" s="47" customFormat="1" ht="30.75" customHeight="1">
      <c r="A567" s="46"/>
      <c r="B567" s="46"/>
      <c r="C567" s="46"/>
      <c r="D567" s="122"/>
      <c r="E567" s="6" t="s">
        <v>157</v>
      </c>
      <c r="F567" s="18">
        <v>49129172</v>
      </c>
      <c r="G567" s="124">
        <v>83.9</v>
      </c>
      <c r="H567" s="125">
        <v>41215331</v>
      </c>
      <c r="I567" s="30">
        <v>1047001</v>
      </c>
    </row>
    <row r="568" spans="1:9" s="47" customFormat="1" ht="15">
      <c r="A568" s="46"/>
      <c r="B568" s="46"/>
      <c r="C568" s="46"/>
      <c r="D568" s="122"/>
      <c r="E568" s="59" t="s">
        <v>746</v>
      </c>
      <c r="F568" s="18"/>
      <c r="G568" s="124"/>
      <c r="H568" s="125"/>
      <c r="I568" s="30"/>
    </row>
    <row r="569" spans="1:9" s="47" customFormat="1" ht="45">
      <c r="A569" s="46"/>
      <c r="B569" s="46"/>
      <c r="C569" s="46"/>
      <c r="D569" s="122"/>
      <c r="E569" s="6" t="s">
        <v>421</v>
      </c>
      <c r="F569" s="18">
        <v>25897449</v>
      </c>
      <c r="G569" s="124">
        <v>77</v>
      </c>
      <c r="H569" s="125">
        <v>19946249</v>
      </c>
      <c r="I569" s="30">
        <v>5700000</v>
      </c>
    </row>
    <row r="570" spans="1:9" s="47" customFormat="1" ht="15">
      <c r="A570" s="46"/>
      <c r="B570" s="46"/>
      <c r="C570" s="46"/>
      <c r="D570" s="122"/>
      <c r="E570" s="59" t="s">
        <v>460</v>
      </c>
      <c r="F570" s="18"/>
      <c r="G570" s="124"/>
      <c r="H570" s="125"/>
      <c r="I570" s="30"/>
    </row>
    <row r="571" spans="1:9" s="47" customFormat="1" ht="45" customHeight="1">
      <c r="A571" s="46"/>
      <c r="B571" s="46"/>
      <c r="C571" s="46"/>
      <c r="D571" s="122"/>
      <c r="E571" s="6" t="s">
        <v>587</v>
      </c>
      <c r="F571" s="18">
        <v>18269582</v>
      </c>
      <c r="G571" s="124">
        <v>97.9</v>
      </c>
      <c r="H571" s="125">
        <v>17881917</v>
      </c>
      <c r="I571" s="30">
        <v>100000</v>
      </c>
    </row>
    <row r="572" spans="1:9" s="47" customFormat="1" ht="45">
      <c r="A572" s="46"/>
      <c r="B572" s="46"/>
      <c r="C572" s="46"/>
      <c r="D572" s="122"/>
      <c r="E572" s="6" t="s">
        <v>35</v>
      </c>
      <c r="F572" s="18">
        <v>12986144</v>
      </c>
      <c r="G572" s="124">
        <v>98.2</v>
      </c>
      <c r="H572" s="125">
        <v>12746222</v>
      </c>
      <c r="I572" s="30">
        <v>100000</v>
      </c>
    </row>
    <row r="573" spans="1:9" s="47" customFormat="1" ht="15">
      <c r="A573" s="46"/>
      <c r="B573" s="46"/>
      <c r="C573" s="46"/>
      <c r="D573" s="122"/>
      <c r="E573" s="59" t="s">
        <v>378</v>
      </c>
      <c r="F573" s="18"/>
      <c r="G573" s="124"/>
      <c r="H573" s="125"/>
      <c r="I573" s="30"/>
    </row>
    <row r="574" spans="1:9" s="47" customFormat="1" ht="30">
      <c r="A574" s="46"/>
      <c r="B574" s="46"/>
      <c r="C574" s="46"/>
      <c r="D574" s="122"/>
      <c r="E574" s="6" t="s">
        <v>728</v>
      </c>
      <c r="F574" s="18">
        <v>28083425</v>
      </c>
      <c r="G574" s="124">
        <v>93.15972677833989</v>
      </c>
      <c r="H574" s="125">
        <v>26162442</v>
      </c>
      <c r="I574" s="30">
        <v>1274000</v>
      </c>
    </row>
    <row r="575" spans="1:9" s="47" customFormat="1" ht="45">
      <c r="A575" s="46"/>
      <c r="B575" s="46"/>
      <c r="C575" s="46"/>
      <c r="D575" s="122"/>
      <c r="E575" s="6" t="s">
        <v>227</v>
      </c>
      <c r="F575" s="18">
        <v>1905419</v>
      </c>
      <c r="G575" s="124">
        <v>41.9</v>
      </c>
      <c r="H575" s="125">
        <v>798974</v>
      </c>
      <c r="I575" s="30">
        <v>1000000</v>
      </c>
    </row>
    <row r="576" spans="1:9" s="47" customFormat="1" ht="15">
      <c r="A576" s="46"/>
      <c r="B576" s="46"/>
      <c r="C576" s="46"/>
      <c r="D576" s="122"/>
      <c r="E576" s="59" t="s">
        <v>427</v>
      </c>
      <c r="F576" s="18"/>
      <c r="G576" s="124"/>
      <c r="H576" s="125"/>
      <c r="I576" s="30"/>
    </row>
    <row r="577" spans="1:9" s="47" customFormat="1" ht="15">
      <c r="A577" s="46"/>
      <c r="B577" s="46"/>
      <c r="C577" s="46"/>
      <c r="D577" s="122"/>
      <c r="E577" s="6" t="s">
        <v>747</v>
      </c>
      <c r="F577" s="18">
        <v>25545066</v>
      </c>
      <c r="G577" s="124"/>
      <c r="H577" s="125"/>
      <c r="I577" s="30">
        <f>4372000+2000000</f>
        <v>6372000</v>
      </c>
    </row>
    <row r="578" spans="1:9" s="47" customFormat="1" ht="45">
      <c r="A578" s="46"/>
      <c r="B578" s="46"/>
      <c r="C578" s="46"/>
      <c r="D578" s="122"/>
      <c r="E578" s="6" t="s">
        <v>228</v>
      </c>
      <c r="F578" s="18">
        <v>2984500</v>
      </c>
      <c r="G578" s="124">
        <v>3.308192327022952</v>
      </c>
      <c r="H578" s="125">
        <v>98733</v>
      </c>
      <c r="I578" s="30">
        <v>2800000</v>
      </c>
    </row>
    <row r="579" spans="1:9" s="34" customFormat="1" ht="28.5" customHeight="1">
      <c r="A579" s="50" t="s">
        <v>748</v>
      </c>
      <c r="B579" s="50" t="s">
        <v>749</v>
      </c>
      <c r="C579" s="50" t="s">
        <v>609</v>
      </c>
      <c r="D579" s="66" t="s">
        <v>428</v>
      </c>
      <c r="E579" s="6"/>
      <c r="F579" s="18"/>
      <c r="G579" s="41"/>
      <c r="H579" s="18"/>
      <c r="I579" s="30">
        <f>I581+I583+I585+I587+I591+I593+I589</f>
        <v>71722706</v>
      </c>
    </row>
    <row r="580" spans="1:9" s="34" customFormat="1" ht="15">
      <c r="A580" s="50"/>
      <c r="B580" s="50"/>
      <c r="C580" s="50"/>
      <c r="D580" s="66"/>
      <c r="E580" s="59" t="s">
        <v>522</v>
      </c>
      <c r="F580" s="18"/>
      <c r="G580" s="41"/>
      <c r="H580" s="18"/>
      <c r="I580" s="30"/>
    </row>
    <row r="581" spans="1:9" s="34" customFormat="1" ht="45">
      <c r="A581" s="50"/>
      <c r="B581" s="50"/>
      <c r="C581" s="50"/>
      <c r="D581" s="66"/>
      <c r="E581" s="96" t="s">
        <v>412</v>
      </c>
      <c r="F581" s="18">
        <v>98655440</v>
      </c>
      <c r="G581" s="124">
        <v>81.9</v>
      </c>
      <c r="H581" s="125">
        <v>80838085</v>
      </c>
      <c r="I581" s="30">
        <f>400000+15000000</f>
        <v>15400000</v>
      </c>
    </row>
    <row r="582" spans="1:9" s="34" customFormat="1" ht="15">
      <c r="A582" s="50"/>
      <c r="B582" s="50"/>
      <c r="C582" s="50"/>
      <c r="D582" s="66"/>
      <c r="E582" s="59" t="s">
        <v>510</v>
      </c>
      <c r="F582" s="18"/>
      <c r="G582" s="124"/>
      <c r="H582" s="125"/>
      <c r="I582" s="30"/>
    </row>
    <row r="583" spans="1:9" s="34" customFormat="1" ht="18" customHeight="1">
      <c r="A583" s="50"/>
      <c r="B583" s="50"/>
      <c r="C583" s="50"/>
      <c r="D583" s="66"/>
      <c r="E583" s="6" t="s">
        <v>750</v>
      </c>
      <c r="F583" s="18">
        <v>45169790</v>
      </c>
      <c r="G583" s="124">
        <v>98</v>
      </c>
      <c r="H583" s="125">
        <v>44258694</v>
      </c>
      <c r="I583" s="30">
        <v>312666</v>
      </c>
    </row>
    <row r="584" spans="1:9" s="34" customFormat="1" ht="15">
      <c r="A584" s="50"/>
      <c r="B584" s="50"/>
      <c r="C584" s="50"/>
      <c r="D584" s="66"/>
      <c r="E584" s="59" t="s">
        <v>462</v>
      </c>
      <c r="F584" s="18"/>
      <c r="G584" s="124"/>
      <c r="H584" s="125"/>
      <c r="I584" s="30"/>
    </row>
    <row r="585" spans="1:9" s="160" customFormat="1" ht="30">
      <c r="A585" s="50"/>
      <c r="B585" s="50"/>
      <c r="C585" s="50"/>
      <c r="D585" s="66"/>
      <c r="E585" s="66" t="s">
        <v>158</v>
      </c>
      <c r="F585" s="18">
        <v>132896200.00000001</v>
      </c>
      <c r="G585" s="124">
        <v>12.8</v>
      </c>
      <c r="H585" s="125">
        <v>17028269</v>
      </c>
      <c r="I585" s="30">
        <f>15100000+29900040</f>
        <v>45000040</v>
      </c>
    </row>
    <row r="586" spans="1:9" s="160" customFormat="1" ht="15">
      <c r="A586" s="50"/>
      <c r="B586" s="50"/>
      <c r="C586" s="50"/>
      <c r="D586" s="66"/>
      <c r="E586" s="59" t="s">
        <v>371</v>
      </c>
      <c r="F586" s="18"/>
      <c r="G586" s="124"/>
      <c r="H586" s="125"/>
      <c r="I586" s="30"/>
    </row>
    <row r="587" spans="1:9" s="160" customFormat="1" ht="49.5" customHeight="1">
      <c r="A587" s="50"/>
      <c r="B587" s="50"/>
      <c r="C587" s="50"/>
      <c r="D587" s="66"/>
      <c r="E587" s="66" t="s">
        <v>347</v>
      </c>
      <c r="F587" s="18">
        <v>14204790</v>
      </c>
      <c r="G587" s="124">
        <v>6.5</v>
      </c>
      <c r="H587" s="125">
        <v>928471</v>
      </c>
      <c r="I587" s="30">
        <v>300000</v>
      </c>
    </row>
    <row r="588" spans="1:9" s="160" customFormat="1" ht="15">
      <c r="A588" s="50"/>
      <c r="B588" s="50"/>
      <c r="C588" s="50"/>
      <c r="D588" s="66"/>
      <c r="E588" s="59" t="s">
        <v>372</v>
      </c>
      <c r="F588" s="18"/>
      <c r="G588" s="124"/>
      <c r="H588" s="125"/>
      <c r="I588" s="30"/>
    </row>
    <row r="589" spans="1:9" s="160" customFormat="1" ht="60">
      <c r="A589" s="50"/>
      <c r="B589" s="50"/>
      <c r="C589" s="50"/>
      <c r="D589" s="66"/>
      <c r="E589" s="66" t="s">
        <v>36</v>
      </c>
      <c r="F589" s="18">
        <v>30000000</v>
      </c>
      <c r="G589" s="124">
        <v>97.19853666666667</v>
      </c>
      <c r="H589" s="125">
        <v>29159561</v>
      </c>
      <c r="I589" s="30">
        <v>30000</v>
      </c>
    </row>
    <row r="590" spans="1:9" s="160" customFormat="1" ht="15">
      <c r="A590" s="50"/>
      <c r="B590" s="50"/>
      <c r="C590" s="50"/>
      <c r="D590" s="66"/>
      <c r="E590" s="59" t="s">
        <v>378</v>
      </c>
      <c r="F590" s="18"/>
      <c r="G590" s="124"/>
      <c r="H590" s="125"/>
      <c r="I590" s="30"/>
    </row>
    <row r="591" spans="1:9" s="160" customFormat="1" ht="45">
      <c r="A591" s="50"/>
      <c r="B591" s="50"/>
      <c r="C591" s="50"/>
      <c r="D591" s="66"/>
      <c r="E591" s="66" t="s">
        <v>588</v>
      </c>
      <c r="F591" s="18">
        <v>16614365.000000002</v>
      </c>
      <c r="G591" s="124">
        <v>8.5</v>
      </c>
      <c r="H591" s="125">
        <v>1413965</v>
      </c>
      <c r="I591" s="30">
        <v>5300000</v>
      </c>
    </row>
    <row r="592" spans="1:9" s="160" customFormat="1" ht="15">
      <c r="A592" s="50"/>
      <c r="B592" s="50"/>
      <c r="C592" s="50"/>
      <c r="D592" s="66"/>
      <c r="E592" s="59" t="s">
        <v>752</v>
      </c>
      <c r="F592" s="18"/>
      <c r="G592" s="41"/>
      <c r="H592" s="18"/>
      <c r="I592" s="30"/>
    </row>
    <row r="593" spans="1:9" s="160" customFormat="1" ht="45">
      <c r="A593" s="50"/>
      <c r="B593" s="50"/>
      <c r="C593" s="50"/>
      <c r="D593" s="66"/>
      <c r="E593" s="66" t="s">
        <v>252</v>
      </c>
      <c r="F593" s="18">
        <v>7678722</v>
      </c>
      <c r="G593" s="124">
        <v>0</v>
      </c>
      <c r="H593" s="125">
        <v>0</v>
      </c>
      <c r="I593" s="30">
        <v>5380000</v>
      </c>
    </row>
    <row r="594" spans="1:9" s="160" customFormat="1" ht="28.5" customHeight="1">
      <c r="A594" s="50" t="s">
        <v>753</v>
      </c>
      <c r="B594" s="50" t="s">
        <v>754</v>
      </c>
      <c r="C594" s="50" t="s">
        <v>609</v>
      </c>
      <c r="D594" s="66" t="s">
        <v>429</v>
      </c>
      <c r="E594" s="6"/>
      <c r="F594" s="18"/>
      <c r="G594" s="41"/>
      <c r="H594" s="18"/>
      <c r="I594" s="30">
        <v>8100000</v>
      </c>
    </row>
    <row r="595" spans="1:9" s="34" customFormat="1" ht="15">
      <c r="A595" s="50"/>
      <c r="B595" s="50"/>
      <c r="C595" s="50"/>
      <c r="D595" s="66"/>
      <c r="E595" s="59" t="s">
        <v>521</v>
      </c>
      <c r="F595" s="18"/>
      <c r="G595" s="41"/>
      <c r="H595" s="18"/>
      <c r="I595" s="30"/>
    </row>
    <row r="596" spans="1:9" s="34" customFormat="1" ht="101.25" customHeight="1">
      <c r="A596" s="50"/>
      <c r="B596" s="50"/>
      <c r="C596" s="50"/>
      <c r="D596" s="66"/>
      <c r="E596" s="6" t="s">
        <v>253</v>
      </c>
      <c r="F596" s="18">
        <v>6992914</v>
      </c>
      <c r="G596" s="124">
        <v>98.6</v>
      </c>
      <c r="H596" s="125">
        <v>6892914</v>
      </c>
      <c r="I596" s="30">
        <v>100000</v>
      </c>
    </row>
    <row r="597" spans="1:9" s="34" customFormat="1" ht="15">
      <c r="A597" s="50"/>
      <c r="B597" s="50"/>
      <c r="C597" s="50"/>
      <c r="D597" s="66"/>
      <c r="E597" s="59" t="s">
        <v>357</v>
      </c>
      <c r="F597" s="18"/>
      <c r="G597" s="41"/>
      <c r="H597" s="18"/>
      <c r="I597" s="30"/>
    </row>
    <row r="598" spans="1:9" s="34" customFormat="1" ht="36.75" customHeight="1">
      <c r="A598" s="50"/>
      <c r="B598" s="50"/>
      <c r="C598" s="50"/>
      <c r="D598" s="66"/>
      <c r="E598" s="6" t="s">
        <v>37</v>
      </c>
      <c r="F598" s="18">
        <v>48345440</v>
      </c>
      <c r="G598" s="124">
        <v>5.5</v>
      </c>
      <c r="H598" s="125">
        <v>2677334</v>
      </c>
      <c r="I598" s="30">
        <v>8000000</v>
      </c>
    </row>
    <row r="599" spans="1:9" s="47" customFormat="1" ht="15">
      <c r="A599" s="50" t="s">
        <v>647</v>
      </c>
      <c r="B599" s="50" t="s">
        <v>638</v>
      </c>
      <c r="C599" s="50"/>
      <c r="D599" s="66" t="s">
        <v>435</v>
      </c>
      <c r="E599" s="6"/>
      <c r="F599" s="18"/>
      <c r="G599" s="41"/>
      <c r="H599" s="18"/>
      <c r="I599" s="30">
        <f>I600+I616+I762+I609+I731+I704</f>
        <v>841502887</v>
      </c>
    </row>
    <row r="600" spans="1:9" s="47" customFormat="1" ht="54.75" customHeight="1">
      <c r="A600" s="46" t="s">
        <v>531</v>
      </c>
      <c r="B600" s="46" t="s">
        <v>675</v>
      </c>
      <c r="C600" s="46" t="s">
        <v>285</v>
      </c>
      <c r="D600" s="122" t="s">
        <v>676</v>
      </c>
      <c r="E600" s="6"/>
      <c r="F600" s="18"/>
      <c r="G600" s="67"/>
      <c r="H600" s="68"/>
      <c r="I600" s="30">
        <f>I602+I603+I604+I606+I607+I608</f>
        <v>38811331</v>
      </c>
    </row>
    <row r="601" spans="1:9" s="47" customFormat="1" ht="15">
      <c r="A601" s="46"/>
      <c r="B601" s="46"/>
      <c r="C601" s="46"/>
      <c r="D601" s="122"/>
      <c r="E601" s="6" t="s">
        <v>521</v>
      </c>
      <c r="F601" s="18"/>
      <c r="G601" s="67"/>
      <c r="H601" s="68"/>
      <c r="I601" s="30"/>
    </row>
    <row r="602" spans="1:9" s="47" customFormat="1" ht="54.75" customHeight="1">
      <c r="A602" s="46"/>
      <c r="B602" s="46"/>
      <c r="C602" s="46"/>
      <c r="D602" s="122"/>
      <c r="E602" s="6" t="s">
        <v>159</v>
      </c>
      <c r="F602" s="18">
        <v>175385148</v>
      </c>
      <c r="G602" s="67">
        <v>0</v>
      </c>
      <c r="H602" s="68">
        <v>0</v>
      </c>
      <c r="I602" s="30">
        <v>7277285</v>
      </c>
    </row>
    <row r="603" spans="1:9" s="47" customFormat="1" ht="63" customHeight="1">
      <c r="A603" s="46"/>
      <c r="B603" s="46"/>
      <c r="C603" s="46"/>
      <c r="D603" s="122"/>
      <c r="E603" s="6" t="s">
        <v>160</v>
      </c>
      <c r="F603" s="18">
        <v>57086304</v>
      </c>
      <c r="G603" s="67">
        <v>46.3</v>
      </c>
      <c r="H603" s="68">
        <v>26435139</v>
      </c>
      <c r="I603" s="30">
        <v>11664946</v>
      </c>
    </row>
    <row r="604" spans="1:9" s="47" customFormat="1" ht="54.75" customHeight="1">
      <c r="A604" s="46"/>
      <c r="B604" s="46"/>
      <c r="C604" s="46"/>
      <c r="D604" s="122"/>
      <c r="E604" s="6" t="s">
        <v>161</v>
      </c>
      <c r="F604" s="18">
        <v>79943725</v>
      </c>
      <c r="G604" s="67">
        <v>0</v>
      </c>
      <c r="H604" s="68">
        <v>0</v>
      </c>
      <c r="I604" s="30">
        <v>2403972</v>
      </c>
    </row>
    <row r="605" spans="1:9" s="47" customFormat="1" ht="15">
      <c r="A605" s="46"/>
      <c r="B605" s="46"/>
      <c r="C605" s="46"/>
      <c r="D605" s="122"/>
      <c r="E605" s="6" t="s">
        <v>496</v>
      </c>
      <c r="F605" s="18"/>
      <c r="G605" s="67"/>
      <c r="H605" s="68"/>
      <c r="I605" s="30"/>
    </row>
    <row r="606" spans="1:9" s="47" customFormat="1" ht="54.75" customHeight="1">
      <c r="A606" s="46"/>
      <c r="B606" s="46"/>
      <c r="C606" s="46"/>
      <c r="D606" s="122"/>
      <c r="E606" s="6" t="s">
        <v>162</v>
      </c>
      <c r="F606" s="18">
        <v>200000000</v>
      </c>
      <c r="G606" s="67">
        <v>87</v>
      </c>
      <c r="H606" s="68">
        <v>173995451</v>
      </c>
      <c r="I606" s="30">
        <f>867913+5208000</f>
        <v>6075913</v>
      </c>
    </row>
    <row r="607" spans="1:9" s="47" customFormat="1" ht="54.75" customHeight="1">
      <c r="A607" s="46"/>
      <c r="B607" s="46"/>
      <c r="C607" s="46"/>
      <c r="D607" s="122"/>
      <c r="E607" s="6" t="s">
        <v>38</v>
      </c>
      <c r="F607" s="18">
        <v>32728233</v>
      </c>
      <c r="G607" s="67">
        <v>0</v>
      </c>
      <c r="H607" s="68">
        <v>0</v>
      </c>
      <c r="I607" s="30">
        <v>6889215</v>
      </c>
    </row>
    <row r="608" spans="1:9" s="47" customFormat="1" ht="58.5" customHeight="1">
      <c r="A608" s="46"/>
      <c r="B608" s="46"/>
      <c r="C608" s="46"/>
      <c r="D608" s="122"/>
      <c r="E608" s="6" t="s">
        <v>39</v>
      </c>
      <c r="F608" s="18">
        <v>145134317</v>
      </c>
      <c r="G608" s="67">
        <v>96.6</v>
      </c>
      <c r="H608" s="68">
        <v>140134318</v>
      </c>
      <c r="I608" s="30">
        <v>4500000</v>
      </c>
    </row>
    <row r="609" spans="1:9" s="47" customFormat="1" ht="66.75" customHeight="1">
      <c r="A609" s="46" t="s">
        <v>683</v>
      </c>
      <c r="B609" s="46" t="s">
        <v>678</v>
      </c>
      <c r="C609" s="46" t="s">
        <v>285</v>
      </c>
      <c r="D609" s="122" t="s">
        <v>679</v>
      </c>
      <c r="E609" s="6"/>
      <c r="F609" s="18"/>
      <c r="G609" s="67"/>
      <c r="H609" s="68"/>
      <c r="I609" s="30">
        <f>I611+I614</f>
        <v>26968389</v>
      </c>
    </row>
    <row r="610" spans="1:9" s="47" customFormat="1" ht="21" customHeight="1">
      <c r="A610" s="46"/>
      <c r="B610" s="46"/>
      <c r="C610" s="46"/>
      <c r="D610" s="122"/>
      <c r="E610" s="59" t="s">
        <v>356</v>
      </c>
      <c r="F610" s="18"/>
      <c r="G610" s="67"/>
      <c r="H610" s="68"/>
      <c r="I610" s="30"/>
    </row>
    <row r="611" spans="1:9" s="114" customFormat="1" ht="66" customHeight="1">
      <c r="A611" s="113"/>
      <c r="B611" s="113"/>
      <c r="C611" s="113"/>
      <c r="D611" s="122"/>
      <c r="E611" s="6" t="s">
        <v>163</v>
      </c>
      <c r="F611" s="18">
        <v>37431904</v>
      </c>
      <c r="G611" s="19">
        <v>36.3</v>
      </c>
      <c r="H611" s="18">
        <v>13588305</v>
      </c>
      <c r="I611" s="30">
        <f>10362038+5000000</f>
        <v>15362038</v>
      </c>
    </row>
    <row r="612" spans="1:9" s="114" customFormat="1" ht="25.5" customHeight="1">
      <c r="A612" s="113"/>
      <c r="B612" s="113"/>
      <c r="C612" s="113"/>
      <c r="D612" s="122"/>
      <c r="E612" s="9" t="s">
        <v>680</v>
      </c>
      <c r="F612" s="18"/>
      <c r="G612" s="18"/>
      <c r="H612" s="18"/>
      <c r="I612" s="31">
        <v>5262038</v>
      </c>
    </row>
    <row r="613" spans="1:9" s="34" customFormat="1" ht="27.75" customHeight="1">
      <c r="A613" s="50"/>
      <c r="B613" s="50"/>
      <c r="C613" s="50"/>
      <c r="D613" s="66"/>
      <c r="E613" s="59" t="s">
        <v>464</v>
      </c>
      <c r="F613" s="18"/>
      <c r="G613" s="41"/>
      <c r="H613" s="18"/>
      <c r="I613" s="30"/>
    </row>
    <row r="614" spans="1:9" s="34" customFormat="1" ht="73.5" customHeight="1">
      <c r="A614" s="50"/>
      <c r="B614" s="50"/>
      <c r="C614" s="50"/>
      <c r="D614" s="66"/>
      <c r="E614" s="120" t="s">
        <v>164</v>
      </c>
      <c r="F614" s="18">
        <v>40962663</v>
      </c>
      <c r="G614" s="41">
        <v>29.3</v>
      </c>
      <c r="H614" s="18">
        <v>11982906</v>
      </c>
      <c r="I614" s="30">
        <f>6606351+5000000</f>
        <v>11606351</v>
      </c>
    </row>
    <row r="615" spans="1:9" s="34" customFormat="1" ht="14.25" customHeight="1">
      <c r="A615" s="50"/>
      <c r="B615" s="50"/>
      <c r="C615" s="50"/>
      <c r="D615" s="66"/>
      <c r="E615" s="163" t="s">
        <v>720</v>
      </c>
      <c r="F615" s="18"/>
      <c r="G615" s="41"/>
      <c r="H615" s="18"/>
      <c r="I615" s="31">
        <v>106351</v>
      </c>
    </row>
    <row r="616" spans="1:9" s="47" customFormat="1" ht="84.75" customHeight="1">
      <c r="A616" s="46" t="s">
        <v>649</v>
      </c>
      <c r="B616" s="46" t="s">
        <v>648</v>
      </c>
      <c r="C616" s="46" t="s">
        <v>285</v>
      </c>
      <c r="D616" s="122" t="s">
        <v>165</v>
      </c>
      <c r="E616" s="161"/>
      <c r="F616" s="22"/>
      <c r="G616" s="40"/>
      <c r="H616" s="22"/>
      <c r="I616" s="31">
        <f>I617+I620+I623+I628+I631+I634+I637+I639+I642+I645+I647+I649+I651+I653+I655+I657+I659+I661+I663+I666+I670+I674+I678+I681+I685+I689+I693+I697+I701+I626</f>
        <v>382699259</v>
      </c>
    </row>
    <row r="617" spans="1:9" s="47" customFormat="1" ht="15">
      <c r="A617" s="46"/>
      <c r="B617" s="46"/>
      <c r="C617" s="46"/>
      <c r="D617" s="122"/>
      <c r="E617" s="6" t="s">
        <v>764</v>
      </c>
      <c r="F617" s="44"/>
      <c r="G617" s="45"/>
      <c r="H617" s="44"/>
      <c r="I617" s="30">
        <v>10602630</v>
      </c>
    </row>
    <row r="618" spans="1:9" s="47" customFormat="1" ht="15">
      <c r="A618" s="46"/>
      <c r="B618" s="46"/>
      <c r="C618" s="46"/>
      <c r="D618" s="122"/>
      <c r="E618" s="62" t="s">
        <v>720</v>
      </c>
      <c r="F618" s="44"/>
      <c r="G618" s="45"/>
      <c r="H618" s="44"/>
      <c r="I618" s="31">
        <v>10382630</v>
      </c>
    </row>
    <row r="619" spans="1:9" s="47" customFormat="1" ht="15">
      <c r="A619" s="46"/>
      <c r="B619" s="46"/>
      <c r="C619" s="46"/>
      <c r="D619" s="122"/>
      <c r="E619" s="59" t="s">
        <v>521</v>
      </c>
      <c r="F619" s="22"/>
      <c r="G619" s="40"/>
      <c r="H619" s="22"/>
      <c r="I619" s="31"/>
    </row>
    <row r="620" spans="1:9" s="47" customFormat="1" ht="60.75" customHeight="1">
      <c r="A620" s="46"/>
      <c r="B620" s="46"/>
      <c r="C620" s="46"/>
      <c r="D620" s="122"/>
      <c r="E620" s="6" t="s">
        <v>40</v>
      </c>
      <c r="F620" s="18">
        <v>80747794</v>
      </c>
      <c r="G620" s="143">
        <v>57.4</v>
      </c>
      <c r="H620" s="144">
        <v>46374865</v>
      </c>
      <c r="I620" s="30">
        <v>34270122</v>
      </c>
    </row>
    <row r="621" spans="1:9" s="47" customFormat="1" ht="15">
      <c r="A621" s="46"/>
      <c r="B621" s="46"/>
      <c r="C621" s="46"/>
      <c r="D621" s="122"/>
      <c r="E621" s="9" t="s">
        <v>720</v>
      </c>
      <c r="F621" s="18"/>
      <c r="G621" s="143"/>
      <c r="H621" s="144"/>
      <c r="I621" s="31">
        <v>25152534</v>
      </c>
    </row>
    <row r="622" spans="1:9" s="47" customFormat="1" ht="15">
      <c r="A622" s="46"/>
      <c r="B622" s="46"/>
      <c r="C622" s="46"/>
      <c r="D622" s="122"/>
      <c r="E622" s="9" t="s">
        <v>680</v>
      </c>
      <c r="F622" s="18"/>
      <c r="G622" s="143"/>
      <c r="H622" s="144"/>
      <c r="I622" s="31">
        <v>8217588</v>
      </c>
    </row>
    <row r="623" spans="1:9" s="47" customFormat="1" ht="60">
      <c r="A623" s="46"/>
      <c r="B623" s="46"/>
      <c r="C623" s="46"/>
      <c r="D623" s="122"/>
      <c r="E623" s="6" t="s">
        <v>229</v>
      </c>
      <c r="F623" s="18">
        <v>5872643</v>
      </c>
      <c r="G623" s="143"/>
      <c r="H623" s="144"/>
      <c r="I623" s="30">
        <v>5721980</v>
      </c>
    </row>
    <row r="624" spans="1:9" s="47" customFormat="1" ht="15">
      <c r="A624" s="46"/>
      <c r="B624" s="46"/>
      <c r="C624" s="46"/>
      <c r="D624" s="122"/>
      <c r="E624" s="9" t="s">
        <v>720</v>
      </c>
      <c r="F624" s="18"/>
      <c r="G624" s="143"/>
      <c r="H624" s="144"/>
      <c r="I624" s="31">
        <v>2441389</v>
      </c>
    </row>
    <row r="625" spans="1:9" s="47" customFormat="1" ht="15">
      <c r="A625" s="46"/>
      <c r="B625" s="46"/>
      <c r="C625" s="46"/>
      <c r="D625" s="122"/>
      <c r="E625" s="9" t="s">
        <v>680</v>
      </c>
      <c r="F625" s="18"/>
      <c r="G625" s="143"/>
      <c r="H625" s="144"/>
      <c r="I625" s="31">
        <v>3010591</v>
      </c>
    </row>
    <row r="626" spans="1:9" s="34" customFormat="1" ht="60">
      <c r="A626" s="50"/>
      <c r="B626" s="50"/>
      <c r="C626" s="50"/>
      <c r="D626" s="66"/>
      <c r="E626" s="6" t="s">
        <v>166</v>
      </c>
      <c r="F626" s="18"/>
      <c r="G626" s="143"/>
      <c r="H626" s="144"/>
      <c r="I626" s="30">
        <v>1000000</v>
      </c>
    </row>
    <row r="627" spans="1:9" s="47" customFormat="1" ht="15">
      <c r="A627" s="46"/>
      <c r="B627" s="46"/>
      <c r="C627" s="46"/>
      <c r="D627" s="122"/>
      <c r="E627" s="62" t="s">
        <v>720</v>
      </c>
      <c r="F627" s="18"/>
      <c r="G627" s="143"/>
      <c r="H627" s="144"/>
      <c r="I627" s="31">
        <v>1000000</v>
      </c>
    </row>
    <row r="628" spans="1:9" s="47" customFormat="1" ht="45" customHeight="1">
      <c r="A628" s="46"/>
      <c r="B628" s="46"/>
      <c r="C628" s="46"/>
      <c r="D628" s="122"/>
      <c r="E628" s="6" t="s">
        <v>662</v>
      </c>
      <c r="F628" s="18">
        <v>5784030</v>
      </c>
      <c r="G628" s="143">
        <v>0</v>
      </c>
      <c r="H628" s="144">
        <v>0</v>
      </c>
      <c r="I628" s="30">
        <v>5683374</v>
      </c>
    </row>
    <row r="629" spans="1:9" s="47" customFormat="1" ht="15">
      <c r="A629" s="46"/>
      <c r="B629" s="46"/>
      <c r="C629" s="46"/>
      <c r="D629" s="122"/>
      <c r="E629" s="9" t="s">
        <v>720</v>
      </c>
      <c r="F629" s="18"/>
      <c r="G629" s="143"/>
      <c r="H629" s="144"/>
      <c r="I629" s="31">
        <v>5017374</v>
      </c>
    </row>
    <row r="630" spans="1:9" s="47" customFormat="1" ht="15">
      <c r="A630" s="46"/>
      <c r="B630" s="46"/>
      <c r="C630" s="46"/>
      <c r="D630" s="122"/>
      <c r="E630" s="62" t="s">
        <v>680</v>
      </c>
      <c r="F630" s="18"/>
      <c r="G630" s="143"/>
      <c r="H630" s="144"/>
      <c r="I630" s="31">
        <v>466000</v>
      </c>
    </row>
    <row r="631" spans="1:9" s="47" customFormat="1" ht="30">
      <c r="A631" s="46"/>
      <c r="B631" s="46"/>
      <c r="C631" s="46"/>
      <c r="D631" s="122"/>
      <c r="E631" s="6" t="s">
        <v>663</v>
      </c>
      <c r="F631" s="18">
        <v>9214534</v>
      </c>
      <c r="G631" s="143">
        <v>0</v>
      </c>
      <c r="H631" s="144">
        <v>0</v>
      </c>
      <c r="I631" s="30">
        <v>9062066</v>
      </c>
    </row>
    <row r="632" spans="1:9" s="47" customFormat="1" ht="15">
      <c r="A632" s="46"/>
      <c r="B632" s="46"/>
      <c r="C632" s="46"/>
      <c r="D632" s="122"/>
      <c r="E632" s="62" t="s">
        <v>720</v>
      </c>
      <c r="F632" s="18"/>
      <c r="G632" s="143"/>
      <c r="H632" s="144"/>
      <c r="I632" s="31">
        <v>8246066</v>
      </c>
    </row>
    <row r="633" spans="1:9" s="47" customFormat="1" ht="15">
      <c r="A633" s="46"/>
      <c r="B633" s="46"/>
      <c r="C633" s="46"/>
      <c r="D633" s="122"/>
      <c r="E633" s="9" t="s">
        <v>680</v>
      </c>
      <c r="F633" s="18"/>
      <c r="G633" s="143"/>
      <c r="H633" s="144"/>
      <c r="I633" s="31">
        <v>466000</v>
      </c>
    </row>
    <row r="634" spans="1:9" s="47" customFormat="1" ht="30">
      <c r="A634" s="46"/>
      <c r="B634" s="46"/>
      <c r="C634" s="46"/>
      <c r="D634" s="122"/>
      <c r="E634" s="96" t="s">
        <v>254</v>
      </c>
      <c r="F634" s="18">
        <v>18638130</v>
      </c>
      <c r="G634" s="143">
        <v>0</v>
      </c>
      <c r="H634" s="144">
        <v>0</v>
      </c>
      <c r="I634" s="30">
        <v>18397294</v>
      </c>
    </row>
    <row r="635" spans="1:9" s="47" customFormat="1" ht="15">
      <c r="A635" s="46"/>
      <c r="B635" s="46"/>
      <c r="C635" s="46"/>
      <c r="D635" s="122"/>
      <c r="E635" s="174" t="s">
        <v>720</v>
      </c>
      <c r="F635" s="18"/>
      <c r="G635" s="143"/>
      <c r="H635" s="144"/>
      <c r="I635" s="31">
        <v>17231294</v>
      </c>
    </row>
    <row r="636" spans="1:9" s="47" customFormat="1" ht="15">
      <c r="A636" s="46"/>
      <c r="B636" s="46"/>
      <c r="C636" s="46"/>
      <c r="D636" s="122"/>
      <c r="E636" s="9" t="s">
        <v>680</v>
      </c>
      <c r="F636" s="18"/>
      <c r="G636" s="143"/>
      <c r="H636" s="144"/>
      <c r="I636" s="31">
        <v>466000</v>
      </c>
    </row>
    <row r="637" spans="1:9" s="47" customFormat="1" ht="30">
      <c r="A637" s="46"/>
      <c r="B637" s="46"/>
      <c r="C637" s="46"/>
      <c r="D637" s="122"/>
      <c r="E637" s="162" t="s">
        <v>664</v>
      </c>
      <c r="F637" s="18">
        <v>10993655</v>
      </c>
      <c r="G637" s="143">
        <v>0</v>
      </c>
      <c r="H637" s="144">
        <v>0</v>
      </c>
      <c r="I637" s="30">
        <v>10983092</v>
      </c>
    </row>
    <row r="638" spans="1:9" s="47" customFormat="1" ht="15">
      <c r="A638" s="46"/>
      <c r="B638" s="46"/>
      <c r="C638" s="46"/>
      <c r="D638" s="122"/>
      <c r="E638" s="62" t="s">
        <v>720</v>
      </c>
      <c r="F638" s="18"/>
      <c r="G638" s="143"/>
      <c r="H638" s="144"/>
      <c r="I638" s="31">
        <v>10583092</v>
      </c>
    </row>
    <row r="639" spans="1:9" s="47" customFormat="1" ht="45">
      <c r="A639" s="46"/>
      <c r="B639" s="46"/>
      <c r="C639" s="46"/>
      <c r="D639" s="122"/>
      <c r="E639" s="6" t="s">
        <v>514</v>
      </c>
      <c r="F639" s="18">
        <v>15800042</v>
      </c>
      <c r="G639" s="143">
        <v>0</v>
      </c>
      <c r="H639" s="144">
        <v>0</v>
      </c>
      <c r="I639" s="30">
        <v>15618435</v>
      </c>
    </row>
    <row r="640" spans="1:9" s="47" customFormat="1" ht="15">
      <c r="A640" s="46"/>
      <c r="B640" s="46"/>
      <c r="C640" s="46"/>
      <c r="D640" s="122"/>
      <c r="E640" s="9" t="s">
        <v>720</v>
      </c>
      <c r="F640" s="18"/>
      <c r="G640" s="143"/>
      <c r="H640" s="144"/>
      <c r="I640" s="31">
        <v>14552435</v>
      </c>
    </row>
    <row r="641" spans="1:9" s="47" customFormat="1" ht="15">
      <c r="A641" s="46"/>
      <c r="B641" s="46"/>
      <c r="C641" s="46"/>
      <c r="D641" s="122"/>
      <c r="E641" s="9" t="s">
        <v>680</v>
      </c>
      <c r="F641" s="18"/>
      <c r="G641" s="143"/>
      <c r="H641" s="144"/>
      <c r="I641" s="31">
        <v>466000</v>
      </c>
    </row>
    <row r="642" spans="1:9" s="47" customFormat="1" ht="45">
      <c r="A642" s="46"/>
      <c r="B642" s="46"/>
      <c r="C642" s="46"/>
      <c r="D642" s="122"/>
      <c r="E642" s="120" t="s">
        <v>515</v>
      </c>
      <c r="F642" s="18">
        <v>9760583</v>
      </c>
      <c r="G642" s="143">
        <v>0</v>
      </c>
      <c r="H642" s="144">
        <v>0</v>
      </c>
      <c r="I642" s="30">
        <v>9617501</v>
      </c>
    </row>
    <row r="643" spans="1:9" s="47" customFormat="1" ht="15">
      <c r="A643" s="46"/>
      <c r="B643" s="46"/>
      <c r="C643" s="46"/>
      <c r="D643" s="122"/>
      <c r="E643" s="174" t="s">
        <v>720</v>
      </c>
      <c r="F643" s="18"/>
      <c r="G643" s="143"/>
      <c r="H643" s="144"/>
      <c r="I643" s="31">
        <v>8801501</v>
      </c>
    </row>
    <row r="644" spans="1:9" s="47" customFormat="1" ht="15">
      <c r="A644" s="46"/>
      <c r="B644" s="46"/>
      <c r="C644" s="46"/>
      <c r="D644" s="122"/>
      <c r="E644" s="9" t="s">
        <v>680</v>
      </c>
      <c r="F644" s="18"/>
      <c r="G644" s="143"/>
      <c r="H644" s="144"/>
      <c r="I644" s="31">
        <v>466000</v>
      </c>
    </row>
    <row r="645" spans="1:9" s="47" customFormat="1" ht="63.75" customHeight="1">
      <c r="A645" s="46"/>
      <c r="B645" s="46"/>
      <c r="C645" s="46"/>
      <c r="D645" s="122"/>
      <c r="E645" s="162" t="s">
        <v>516</v>
      </c>
      <c r="F645" s="18">
        <v>5375579</v>
      </c>
      <c r="G645" s="143">
        <v>0</v>
      </c>
      <c r="H645" s="144">
        <v>0</v>
      </c>
      <c r="I645" s="30">
        <v>5375579</v>
      </c>
    </row>
    <row r="646" spans="1:9" s="47" customFormat="1" ht="15">
      <c r="A646" s="46"/>
      <c r="B646" s="46"/>
      <c r="C646" s="46"/>
      <c r="D646" s="122"/>
      <c r="E646" s="62" t="s">
        <v>720</v>
      </c>
      <c r="F646" s="18"/>
      <c r="G646" s="143"/>
      <c r="H646" s="144"/>
      <c r="I646" s="31">
        <v>5175579</v>
      </c>
    </row>
    <row r="647" spans="1:9" s="47" customFormat="1" ht="63.75" customHeight="1">
      <c r="A647" s="46"/>
      <c r="B647" s="46"/>
      <c r="C647" s="46"/>
      <c r="D647" s="122"/>
      <c r="E647" s="6" t="s">
        <v>167</v>
      </c>
      <c r="F647" s="18">
        <v>7675479</v>
      </c>
      <c r="G647" s="143">
        <v>0</v>
      </c>
      <c r="H647" s="144">
        <v>0</v>
      </c>
      <c r="I647" s="30">
        <v>7675479</v>
      </c>
    </row>
    <row r="648" spans="1:9" s="47" customFormat="1" ht="15">
      <c r="A648" s="46"/>
      <c r="B648" s="46"/>
      <c r="C648" s="46"/>
      <c r="D648" s="122"/>
      <c r="E648" s="9" t="s">
        <v>720</v>
      </c>
      <c r="F648" s="18"/>
      <c r="G648" s="143"/>
      <c r="H648" s="144"/>
      <c r="I648" s="31">
        <v>7425479</v>
      </c>
    </row>
    <row r="649" spans="1:9" s="47" customFormat="1" ht="63.75" customHeight="1">
      <c r="A649" s="46"/>
      <c r="B649" s="46"/>
      <c r="C649" s="46"/>
      <c r="D649" s="122"/>
      <c r="E649" s="6" t="s">
        <v>168</v>
      </c>
      <c r="F649" s="18">
        <v>4647484</v>
      </c>
      <c r="G649" s="143">
        <v>0</v>
      </c>
      <c r="H649" s="144">
        <v>0</v>
      </c>
      <c r="I649" s="30">
        <v>4600000</v>
      </c>
    </row>
    <row r="650" spans="1:9" s="47" customFormat="1" ht="15">
      <c r="A650" s="46"/>
      <c r="B650" s="46"/>
      <c r="C650" s="46"/>
      <c r="D650" s="122"/>
      <c r="E650" s="62" t="s">
        <v>720</v>
      </c>
      <c r="F650" s="18"/>
      <c r="G650" s="143"/>
      <c r="H650" s="144"/>
      <c r="I650" s="31">
        <v>4450000</v>
      </c>
    </row>
    <row r="651" spans="1:9" s="47" customFormat="1" ht="60">
      <c r="A651" s="46"/>
      <c r="B651" s="46"/>
      <c r="C651" s="46"/>
      <c r="D651" s="122"/>
      <c r="E651" s="6" t="s">
        <v>169</v>
      </c>
      <c r="F651" s="18">
        <v>7293284</v>
      </c>
      <c r="G651" s="143">
        <v>0</v>
      </c>
      <c r="H651" s="144">
        <v>0</v>
      </c>
      <c r="I651" s="30">
        <v>7293284</v>
      </c>
    </row>
    <row r="652" spans="1:9" s="47" customFormat="1" ht="15">
      <c r="A652" s="46"/>
      <c r="B652" s="46"/>
      <c r="C652" s="46"/>
      <c r="D652" s="122"/>
      <c r="E652" s="62" t="s">
        <v>720</v>
      </c>
      <c r="F652" s="18"/>
      <c r="G652" s="143"/>
      <c r="H652" s="144"/>
      <c r="I652" s="31">
        <v>7043284</v>
      </c>
    </row>
    <row r="653" spans="1:9" s="47" customFormat="1" ht="60">
      <c r="A653" s="46"/>
      <c r="B653" s="46"/>
      <c r="C653" s="46"/>
      <c r="D653" s="122"/>
      <c r="E653" s="6" t="s">
        <v>170</v>
      </c>
      <c r="F653" s="18">
        <v>4474778</v>
      </c>
      <c r="G653" s="143">
        <v>0</v>
      </c>
      <c r="H653" s="144">
        <v>0</v>
      </c>
      <c r="I653" s="30">
        <v>4474778</v>
      </c>
    </row>
    <row r="654" spans="1:9" s="47" customFormat="1" ht="15">
      <c r="A654" s="46"/>
      <c r="B654" s="46"/>
      <c r="C654" s="46"/>
      <c r="D654" s="122"/>
      <c r="E654" s="62" t="s">
        <v>720</v>
      </c>
      <c r="F654" s="18"/>
      <c r="G654" s="143"/>
      <c r="H654" s="144"/>
      <c r="I654" s="31">
        <v>4324778</v>
      </c>
    </row>
    <row r="655" spans="1:9" s="47" customFormat="1" ht="60">
      <c r="A655" s="46"/>
      <c r="B655" s="46"/>
      <c r="C655" s="46"/>
      <c r="D655" s="122"/>
      <c r="E655" s="6" t="s">
        <v>41</v>
      </c>
      <c r="F655" s="18">
        <v>5295640</v>
      </c>
      <c r="G655" s="143">
        <v>0</v>
      </c>
      <c r="H655" s="144">
        <v>0</v>
      </c>
      <c r="I655" s="30">
        <v>5295640</v>
      </c>
    </row>
    <row r="656" spans="1:9" s="47" customFormat="1" ht="15">
      <c r="A656" s="46"/>
      <c r="B656" s="46"/>
      <c r="C656" s="46"/>
      <c r="D656" s="122"/>
      <c r="E656" s="62" t="s">
        <v>720</v>
      </c>
      <c r="F656" s="18"/>
      <c r="G656" s="143"/>
      <c r="H656" s="144"/>
      <c r="I656" s="31">
        <v>5095640</v>
      </c>
    </row>
    <row r="657" spans="1:9" s="47" customFormat="1" ht="60">
      <c r="A657" s="46"/>
      <c r="B657" s="46"/>
      <c r="C657" s="46"/>
      <c r="D657" s="122"/>
      <c r="E657" s="6" t="s">
        <v>171</v>
      </c>
      <c r="F657" s="18">
        <v>5646172</v>
      </c>
      <c r="G657" s="143">
        <v>0</v>
      </c>
      <c r="H657" s="144">
        <v>0</v>
      </c>
      <c r="I657" s="30">
        <v>5646172</v>
      </c>
    </row>
    <row r="658" spans="1:9" s="47" customFormat="1" ht="15">
      <c r="A658" s="46"/>
      <c r="B658" s="46"/>
      <c r="C658" s="46"/>
      <c r="D658" s="122"/>
      <c r="E658" s="62" t="s">
        <v>720</v>
      </c>
      <c r="F658" s="18"/>
      <c r="G658" s="143"/>
      <c r="H658" s="144"/>
      <c r="I658" s="31">
        <v>5446172</v>
      </c>
    </row>
    <row r="659" spans="1:9" s="47" customFormat="1" ht="45">
      <c r="A659" s="46"/>
      <c r="B659" s="46"/>
      <c r="C659" s="46"/>
      <c r="D659" s="122"/>
      <c r="E659" s="120" t="s">
        <v>230</v>
      </c>
      <c r="F659" s="18">
        <v>4902303</v>
      </c>
      <c r="G659" s="143">
        <v>0</v>
      </c>
      <c r="H659" s="144">
        <v>0</v>
      </c>
      <c r="I659" s="30">
        <v>4902303</v>
      </c>
    </row>
    <row r="660" spans="1:9" s="47" customFormat="1" ht="15">
      <c r="A660" s="46"/>
      <c r="B660" s="46"/>
      <c r="C660" s="46"/>
      <c r="D660" s="122"/>
      <c r="E660" s="163" t="s">
        <v>720</v>
      </c>
      <c r="F660" s="18"/>
      <c r="G660" s="143"/>
      <c r="H660" s="144"/>
      <c r="I660" s="31">
        <v>4752303</v>
      </c>
    </row>
    <row r="661" spans="1:9" s="47" customFormat="1" ht="45">
      <c r="A661" s="46"/>
      <c r="B661" s="46"/>
      <c r="C661" s="46"/>
      <c r="D661" s="122"/>
      <c r="E661" s="162" t="s">
        <v>172</v>
      </c>
      <c r="F661" s="18">
        <v>6839275</v>
      </c>
      <c r="G661" s="143">
        <v>0</v>
      </c>
      <c r="H661" s="144">
        <v>0</v>
      </c>
      <c r="I661" s="30">
        <v>6839275</v>
      </c>
    </row>
    <row r="662" spans="1:9" s="47" customFormat="1" ht="15">
      <c r="A662" s="46"/>
      <c r="B662" s="46"/>
      <c r="C662" s="46"/>
      <c r="D662" s="122"/>
      <c r="E662" s="62" t="s">
        <v>720</v>
      </c>
      <c r="F662" s="18"/>
      <c r="G662" s="143"/>
      <c r="H662" s="144"/>
      <c r="I662" s="31">
        <v>6589275</v>
      </c>
    </row>
    <row r="663" spans="1:9" s="47" customFormat="1" ht="60">
      <c r="A663" s="46"/>
      <c r="B663" s="46"/>
      <c r="C663" s="46"/>
      <c r="D663" s="122"/>
      <c r="E663" s="6" t="s">
        <v>173</v>
      </c>
      <c r="F663" s="18">
        <v>11640236</v>
      </c>
      <c r="G663" s="143">
        <v>0</v>
      </c>
      <c r="H663" s="144">
        <v>0</v>
      </c>
      <c r="I663" s="30">
        <v>11640236</v>
      </c>
    </row>
    <row r="664" spans="1:9" s="47" customFormat="1" ht="15">
      <c r="A664" s="46"/>
      <c r="B664" s="46"/>
      <c r="C664" s="46"/>
      <c r="D664" s="122"/>
      <c r="E664" s="62" t="s">
        <v>720</v>
      </c>
      <c r="F664" s="18"/>
      <c r="G664" s="143"/>
      <c r="H664" s="144"/>
      <c r="I664" s="31">
        <v>11440236</v>
      </c>
    </row>
    <row r="665" spans="1:9" s="47" customFormat="1" ht="15">
      <c r="A665" s="46"/>
      <c r="B665" s="46"/>
      <c r="C665" s="46"/>
      <c r="D665" s="122"/>
      <c r="E665" s="59" t="s">
        <v>522</v>
      </c>
      <c r="F665" s="22"/>
      <c r="G665" s="40"/>
      <c r="H665" s="22"/>
      <c r="I665" s="31"/>
    </row>
    <row r="666" spans="1:9" s="47" customFormat="1" ht="45">
      <c r="A666" s="46"/>
      <c r="B666" s="46"/>
      <c r="C666" s="46"/>
      <c r="D666" s="122"/>
      <c r="E666" s="6" t="s">
        <v>42</v>
      </c>
      <c r="F666" s="18">
        <v>10240596</v>
      </c>
      <c r="G666" s="41">
        <v>0</v>
      </c>
      <c r="H666" s="18">
        <v>0</v>
      </c>
      <c r="I666" s="30">
        <v>8739606</v>
      </c>
    </row>
    <row r="667" spans="1:9" s="47" customFormat="1" ht="15">
      <c r="A667" s="46"/>
      <c r="B667" s="46"/>
      <c r="C667" s="46"/>
      <c r="D667" s="122"/>
      <c r="E667" s="9" t="s">
        <v>720</v>
      </c>
      <c r="F667" s="18"/>
      <c r="G667" s="41"/>
      <c r="H667" s="18"/>
      <c r="I667" s="31">
        <v>445732</v>
      </c>
    </row>
    <row r="668" spans="1:9" s="47" customFormat="1" ht="15">
      <c r="A668" s="46"/>
      <c r="B668" s="46"/>
      <c r="C668" s="46"/>
      <c r="D668" s="122"/>
      <c r="E668" s="9" t="s">
        <v>680</v>
      </c>
      <c r="F668" s="22"/>
      <c r="G668" s="64"/>
      <c r="H668" s="65"/>
      <c r="I668" s="31">
        <v>8026881</v>
      </c>
    </row>
    <row r="669" spans="1:9" s="47" customFormat="1" ht="15">
      <c r="A669" s="46"/>
      <c r="B669" s="46"/>
      <c r="C669" s="46"/>
      <c r="D669" s="122"/>
      <c r="E669" s="9" t="s">
        <v>681</v>
      </c>
      <c r="F669" s="22"/>
      <c r="G669" s="64"/>
      <c r="H669" s="65"/>
      <c r="I669" s="31">
        <v>49594</v>
      </c>
    </row>
    <row r="670" spans="1:9" s="47" customFormat="1" ht="44.25" customHeight="1">
      <c r="A670" s="46"/>
      <c r="B670" s="46"/>
      <c r="C670" s="46"/>
      <c r="D670" s="122"/>
      <c r="E670" s="6" t="s">
        <v>174</v>
      </c>
      <c r="F670" s="18">
        <v>11811864</v>
      </c>
      <c r="G670" s="41">
        <v>0</v>
      </c>
      <c r="H670" s="18">
        <v>0</v>
      </c>
      <c r="I670" s="30">
        <v>8945021</v>
      </c>
    </row>
    <row r="671" spans="1:9" s="47" customFormat="1" ht="15">
      <c r="A671" s="46"/>
      <c r="B671" s="46"/>
      <c r="C671" s="46"/>
      <c r="D671" s="122"/>
      <c r="E671" s="62" t="s">
        <v>720</v>
      </c>
      <c r="F671" s="18"/>
      <c r="G671" s="41"/>
      <c r="H671" s="18"/>
      <c r="I671" s="31">
        <v>3319273</v>
      </c>
    </row>
    <row r="672" spans="1:9" s="47" customFormat="1" ht="15">
      <c r="A672" s="46"/>
      <c r="B672" s="46"/>
      <c r="C672" s="46"/>
      <c r="D672" s="122"/>
      <c r="E672" s="9" t="s">
        <v>680</v>
      </c>
      <c r="F672" s="22"/>
      <c r="G672" s="64"/>
      <c r="H672" s="65"/>
      <c r="I672" s="31">
        <v>5375748</v>
      </c>
    </row>
    <row r="673" spans="1:9" s="47" customFormat="1" ht="15">
      <c r="A673" s="46"/>
      <c r="B673" s="46"/>
      <c r="C673" s="46"/>
      <c r="D673" s="122"/>
      <c r="E673" s="9" t="s">
        <v>681</v>
      </c>
      <c r="F673" s="22"/>
      <c r="G673" s="64"/>
      <c r="H673" s="65"/>
      <c r="I673" s="31">
        <v>198982</v>
      </c>
    </row>
    <row r="674" spans="1:9" s="47" customFormat="1" ht="45">
      <c r="A674" s="46"/>
      <c r="B674" s="46"/>
      <c r="C674" s="46"/>
      <c r="D674" s="122"/>
      <c r="E674" s="6" t="s">
        <v>43</v>
      </c>
      <c r="F674" s="18">
        <v>13793504</v>
      </c>
      <c r="G674" s="41">
        <v>8.526571638359622</v>
      </c>
      <c r="H674" s="18">
        <v>1176113</v>
      </c>
      <c r="I674" s="30">
        <v>10707981</v>
      </c>
    </row>
    <row r="675" spans="1:9" s="47" customFormat="1" ht="15">
      <c r="A675" s="46"/>
      <c r="B675" s="46"/>
      <c r="C675" s="46"/>
      <c r="D675" s="122"/>
      <c r="E675" s="62" t="s">
        <v>720</v>
      </c>
      <c r="F675" s="18"/>
      <c r="G675" s="41"/>
      <c r="H675" s="18"/>
      <c r="I675" s="31">
        <v>1096066</v>
      </c>
    </row>
    <row r="676" spans="1:9" s="47" customFormat="1" ht="15">
      <c r="A676" s="46"/>
      <c r="B676" s="46"/>
      <c r="C676" s="46"/>
      <c r="D676" s="122"/>
      <c r="E676" s="9" t="s">
        <v>680</v>
      </c>
      <c r="F676" s="22"/>
      <c r="G676" s="64"/>
      <c r="H676" s="65"/>
      <c r="I676" s="31">
        <v>9291915</v>
      </c>
    </row>
    <row r="677" spans="1:9" s="47" customFormat="1" ht="15">
      <c r="A677" s="46"/>
      <c r="B677" s="46"/>
      <c r="C677" s="46"/>
      <c r="D677" s="122"/>
      <c r="E677" s="9" t="s">
        <v>681</v>
      </c>
      <c r="F677" s="22"/>
      <c r="G677" s="64"/>
      <c r="H677" s="65"/>
      <c r="I677" s="31">
        <v>56387</v>
      </c>
    </row>
    <row r="678" spans="1:9" s="47" customFormat="1" ht="45">
      <c r="A678" s="46"/>
      <c r="B678" s="46"/>
      <c r="C678" s="46"/>
      <c r="D678" s="122"/>
      <c r="E678" s="6" t="s">
        <v>175</v>
      </c>
      <c r="F678" s="18">
        <v>47244107</v>
      </c>
      <c r="G678" s="41">
        <v>23</v>
      </c>
      <c r="H678" s="18">
        <v>10878115</v>
      </c>
      <c r="I678" s="30">
        <v>36365992</v>
      </c>
    </row>
    <row r="679" spans="1:9" s="47" customFormat="1" ht="15">
      <c r="A679" s="46"/>
      <c r="B679" s="46"/>
      <c r="C679" s="46"/>
      <c r="D679" s="122"/>
      <c r="E679" s="62" t="s">
        <v>720</v>
      </c>
      <c r="F679" s="18"/>
      <c r="G679" s="41"/>
      <c r="H679" s="18"/>
      <c r="I679" s="31">
        <v>31257706</v>
      </c>
    </row>
    <row r="680" spans="1:9" s="47" customFormat="1" ht="15">
      <c r="A680" s="46"/>
      <c r="B680" s="46"/>
      <c r="C680" s="46"/>
      <c r="D680" s="122"/>
      <c r="E680" s="9" t="s">
        <v>680</v>
      </c>
      <c r="F680" s="22"/>
      <c r="G680" s="64"/>
      <c r="H680" s="65"/>
      <c r="I680" s="31">
        <v>3908286</v>
      </c>
    </row>
    <row r="681" spans="1:9" s="47" customFormat="1" ht="45">
      <c r="A681" s="46"/>
      <c r="B681" s="46"/>
      <c r="C681" s="46"/>
      <c r="D681" s="122"/>
      <c r="E681" s="6" t="s">
        <v>44</v>
      </c>
      <c r="F681" s="18">
        <v>8353369</v>
      </c>
      <c r="G681" s="41"/>
      <c r="H681" s="18"/>
      <c r="I681" s="30">
        <v>6961301</v>
      </c>
    </row>
    <row r="682" spans="1:9" s="47" customFormat="1" ht="15">
      <c r="A682" s="46"/>
      <c r="B682" s="46"/>
      <c r="C682" s="46"/>
      <c r="D682" s="122"/>
      <c r="E682" s="62" t="s">
        <v>720</v>
      </c>
      <c r="F682" s="18"/>
      <c r="G682" s="41"/>
      <c r="H682" s="18"/>
      <c r="I682" s="31">
        <v>925787</v>
      </c>
    </row>
    <row r="683" spans="1:9" s="47" customFormat="1" ht="15">
      <c r="A683" s="46"/>
      <c r="B683" s="46"/>
      <c r="C683" s="46"/>
      <c r="D683" s="122"/>
      <c r="E683" s="9" t="s">
        <v>680</v>
      </c>
      <c r="F683" s="22"/>
      <c r="G683" s="64"/>
      <c r="H683" s="65"/>
      <c r="I683" s="31">
        <v>5913814</v>
      </c>
    </row>
    <row r="684" spans="1:9" s="47" customFormat="1" ht="15">
      <c r="A684" s="46"/>
      <c r="B684" s="46"/>
      <c r="C684" s="46"/>
      <c r="D684" s="122"/>
      <c r="E684" s="9" t="s">
        <v>681</v>
      </c>
      <c r="F684" s="22"/>
      <c r="G684" s="64"/>
      <c r="H684" s="65"/>
      <c r="I684" s="31">
        <v>64362</v>
      </c>
    </row>
    <row r="685" spans="1:9" s="47" customFormat="1" ht="60">
      <c r="A685" s="46"/>
      <c r="B685" s="46"/>
      <c r="C685" s="46"/>
      <c r="D685" s="122"/>
      <c r="E685" s="6" t="s">
        <v>231</v>
      </c>
      <c r="F685" s="18">
        <v>11994215</v>
      </c>
      <c r="G685" s="41">
        <v>8.1</v>
      </c>
      <c r="H685" s="18">
        <v>974735</v>
      </c>
      <c r="I685" s="30">
        <v>9276869</v>
      </c>
    </row>
    <row r="686" spans="1:9" s="47" customFormat="1" ht="15">
      <c r="A686" s="46"/>
      <c r="B686" s="46"/>
      <c r="C686" s="46"/>
      <c r="D686" s="122"/>
      <c r="E686" s="62" t="s">
        <v>720</v>
      </c>
      <c r="F686" s="18"/>
      <c r="G686" s="41"/>
      <c r="H686" s="18"/>
      <c r="I686" s="31">
        <v>691271</v>
      </c>
    </row>
    <row r="687" spans="1:9" s="47" customFormat="1" ht="15">
      <c r="A687" s="46"/>
      <c r="B687" s="46"/>
      <c r="C687" s="46"/>
      <c r="D687" s="122"/>
      <c r="E687" s="9" t="s">
        <v>680</v>
      </c>
      <c r="F687" s="22"/>
      <c r="G687" s="64"/>
      <c r="H687" s="65"/>
      <c r="I687" s="31">
        <v>8285598.75</v>
      </c>
    </row>
    <row r="688" spans="1:9" s="47" customFormat="1" ht="15">
      <c r="A688" s="46"/>
      <c r="B688" s="46"/>
      <c r="C688" s="46"/>
      <c r="D688" s="122"/>
      <c r="E688" s="9" t="s">
        <v>681</v>
      </c>
      <c r="F688" s="22"/>
      <c r="G688" s="64"/>
      <c r="H688" s="65"/>
      <c r="I688" s="31">
        <v>30531</v>
      </c>
    </row>
    <row r="689" spans="1:9" s="47" customFormat="1" ht="45">
      <c r="A689" s="46"/>
      <c r="B689" s="46"/>
      <c r="C689" s="46"/>
      <c r="D689" s="122"/>
      <c r="E689" s="6" t="s">
        <v>45</v>
      </c>
      <c r="F689" s="18">
        <v>7656138</v>
      </c>
      <c r="G689" s="41">
        <v>3.5</v>
      </c>
      <c r="H689" s="18">
        <v>270882</v>
      </c>
      <c r="I689" s="30">
        <v>5718751</v>
      </c>
    </row>
    <row r="690" spans="1:9" s="47" customFormat="1" ht="15">
      <c r="A690" s="46"/>
      <c r="B690" s="46"/>
      <c r="C690" s="46"/>
      <c r="D690" s="122"/>
      <c r="E690" s="62" t="s">
        <v>720</v>
      </c>
      <c r="F690" s="18"/>
      <c r="G690" s="41"/>
      <c r="H690" s="18"/>
      <c r="I690" s="31">
        <v>1460897</v>
      </c>
    </row>
    <row r="691" spans="1:9" s="47" customFormat="1" ht="15">
      <c r="A691" s="46"/>
      <c r="B691" s="46"/>
      <c r="C691" s="46"/>
      <c r="D691" s="122"/>
      <c r="E691" s="9" t="s">
        <v>680</v>
      </c>
      <c r="F691" s="22"/>
      <c r="G691" s="64"/>
      <c r="H691" s="65"/>
      <c r="I691" s="31">
        <v>4077854</v>
      </c>
    </row>
    <row r="692" spans="1:9" s="47" customFormat="1" ht="15">
      <c r="A692" s="46"/>
      <c r="B692" s="46"/>
      <c r="C692" s="46"/>
      <c r="D692" s="122"/>
      <c r="E692" s="9" t="s">
        <v>681</v>
      </c>
      <c r="F692" s="22"/>
      <c r="G692" s="64"/>
      <c r="H692" s="65"/>
      <c r="I692" s="31">
        <v>77078</v>
      </c>
    </row>
    <row r="693" spans="1:9" s="47" customFormat="1" ht="45">
      <c r="A693" s="46"/>
      <c r="B693" s="46"/>
      <c r="C693" s="46"/>
      <c r="D693" s="122"/>
      <c r="E693" s="6" t="s">
        <v>176</v>
      </c>
      <c r="F693" s="18">
        <v>4078095</v>
      </c>
      <c r="G693" s="41">
        <v>2</v>
      </c>
      <c r="H693" s="18">
        <v>83544</v>
      </c>
      <c r="I693" s="30">
        <v>2801392</v>
      </c>
    </row>
    <row r="694" spans="1:9" s="47" customFormat="1" ht="15">
      <c r="A694" s="46"/>
      <c r="B694" s="46"/>
      <c r="C694" s="46"/>
      <c r="D694" s="122"/>
      <c r="E694" s="9" t="s">
        <v>720</v>
      </c>
      <c r="F694" s="18"/>
      <c r="G694" s="41"/>
      <c r="H694" s="18"/>
      <c r="I694" s="31">
        <v>920308</v>
      </c>
    </row>
    <row r="695" spans="1:9" s="47" customFormat="1" ht="15">
      <c r="A695" s="46"/>
      <c r="B695" s="46"/>
      <c r="C695" s="46"/>
      <c r="D695" s="122"/>
      <c r="E695" s="9" t="s">
        <v>680</v>
      </c>
      <c r="F695" s="22"/>
      <c r="G695" s="64"/>
      <c r="H695" s="65"/>
      <c r="I695" s="31">
        <v>1781084</v>
      </c>
    </row>
    <row r="696" spans="1:9" s="47" customFormat="1" ht="15">
      <c r="A696" s="46"/>
      <c r="B696" s="46"/>
      <c r="C696" s="46"/>
      <c r="D696" s="122"/>
      <c r="E696" s="9" t="s">
        <v>681</v>
      </c>
      <c r="F696" s="22"/>
      <c r="G696" s="64"/>
      <c r="H696" s="65"/>
      <c r="I696" s="31">
        <v>48989</v>
      </c>
    </row>
    <row r="697" spans="1:9" s="47" customFormat="1" ht="60">
      <c r="A697" s="46"/>
      <c r="B697" s="46"/>
      <c r="C697" s="46"/>
      <c r="D697" s="122"/>
      <c r="E697" s="6" t="s">
        <v>177</v>
      </c>
      <c r="F697" s="18">
        <v>353209726</v>
      </c>
      <c r="G697" s="41">
        <v>83.34275002382012</v>
      </c>
      <c r="H697" s="18">
        <v>294374699</v>
      </c>
      <c r="I697" s="30">
        <v>58835027</v>
      </c>
    </row>
    <row r="698" spans="1:9" s="47" customFormat="1" ht="15">
      <c r="A698" s="46"/>
      <c r="B698" s="46"/>
      <c r="C698" s="46"/>
      <c r="D698" s="122"/>
      <c r="E698" s="62" t="s">
        <v>720</v>
      </c>
      <c r="F698" s="18"/>
      <c r="G698" s="41"/>
      <c r="H698" s="18"/>
      <c r="I698" s="31">
        <v>50012185</v>
      </c>
    </row>
    <row r="699" spans="1:9" s="47" customFormat="1" ht="15">
      <c r="A699" s="46"/>
      <c r="B699" s="46"/>
      <c r="C699" s="46"/>
      <c r="D699" s="122"/>
      <c r="E699" s="9" t="s">
        <v>680</v>
      </c>
      <c r="F699" s="22"/>
      <c r="G699" s="64"/>
      <c r="H699" s="65"/>
      <c r="I699" s="31">
        <v>7022842</v>
      </c>
    </row>
    <row r="700" spans="1:9" s="47" customFormat="1" ht="15">
      <c r="A700" s="46"/>
      <c r="B700" s="46"/>
      <c r="C700" s="46"/>
      <c r="D700" s="122"/>
      <c r="E700" s="59" t="s">
        <v>461</v>
      </c>
      <c r="F700" s="22"/>
      <c r="G700" s="40"/>
      <c r="H700" s="22"/>
      <c r="I700" s="31"/>
    </row>
    <row r="701" spans="1:9" s="47" customFormat="1" ht="60">
      <c r="A701" s="46"/>
      <c r="B701" s="46"/>
      <c r="C701" s="46"/>
      <c r="D701" s="122"/>
      <c r="E701" s="6" t="s">
        <v>178</v>
      </c>
      <c r="F701" s="43">
        <v>160309352</v>
      </c>
      <c r="G701" s="41">
        <v>64.72510349864055</v>
      </c>
      <c r="H701" s="18">
        <v>103760394</v>
      </c>
      <c r="I701" s="30">
        <v>49648079</v>
      </c>
    </row>
    <row r="702" spans="1:9" s="60" customFormat="1" ht="15">
      <c r="A702" s="69"/>
      <c r="B702" s="69"/>
      <c r="C702" s="69"/>
      <c r="D702" s="145"/>
      <c r="E702" s="62" t="s">
        <v>720</v>
      </c>
      <c r="F702" s="70"/>
      <c r="G702" s="71"/>
      <c r="H702" s="72"/>
      <c r="I702" s="73">
        <v>29528914</v>
      </c>
    </row>
    <row r="703" spans="1:9" s="47" customFormat="1" ht="15">
      <c r="A703" s="46"/>
      <c r="B703" s="46"/>
      <c r="C703" s="46"/>
      <c r="D703" s="122"/>
      <c r="E703" s="9" t="s">
        <v>680</v>
      </c>
      <c r="F703" s="22"/>
      <c r="G703" s="64"/>
      <c r="H703" s="65"/>
      <c r="I703" s="31">
        <v>18619165</v>
      </c>
    </row>
    <row r="704" spans="1:9" s="47" customFormat="1" ht="30">
      <c r="A704" s="46" t="s">
        <v>717</v>
      </c>
      <c r="B704" s="46" t="s">
        <v>718</v>
      </c>
      <c r="C704" s="46" t="s">
        <v>285</v>
      </c>
      <c r="D704" s="146" t="s">
        <v>719</v>
      </c>
      <c r="E704" s="9"/>
      <c r="F704" s="22"/>
      <c r="G704" s="64"/>
      <c r="H704" s="65"/>
      <c r="I704" s="31">
        <f>I705+I708+I711+I713+I715+I717+I720+I723+I726+I729</f>
        <v>115050844</v>
      </c>
    </row>
    <row r="705" spans="1:9" s="47" customFormat="1" ht="15">
      <c r="A705" s="46"/>
      <c r="B705" s="46"/>
      <c r="C705" s="46"/>
      <c r="D705" s="122"/>
      <c r="E705" s="6" t="s">
        <v>764</v>
      </c>
      <c r="F705" s="44"/>
      <c r="G705" s="45"/>
      <c r="H705" s="44"/>
      <c r="I705" s="30">
        <v>39161778</v>
      </c>
    </row>
    <row r="706" spans="1:9" s="47" customFormat="1" ht="15">
      <c r="A706" s="46"/>
      <c r="B706" s="46"/>
      <c r="C706" s="46"/>
      <c r="D706" s="122"/>
      <c r="E706" s="62" t="s">
        <v>720</v>
      </c>
      <c r="F706" s="44"/>
      <c r="G706" s="45"/>
      <c r="H706" s="44"/>
      <c r="I706" s="31">
        <v>32634815</v>
      </c>
    </row>
    <row r="707" spans="1:9" s="47" customFormat="1" ht="15">
      <c r="A707" s="46"/>
      <c r="B707" s="46"/>
      <c r="C707" s="46"/>
      <c r="D707" s="122"/>
      <c r="E707" s="59" t="s">
        <v>521</v>
      </c>
      <c r="F707" s="22"/>
      <c r="G707" s="40"/>
      <c r="H707" s="22"/>
      <c r="I707" s="31"/>
    </row>
    <row r="708" spans="1:9" s="47" customFormat="1" ht="45">
      <c r="A708" s="46"/>
      <c r="B708" s="46"/>
      <c r="C708" s="46"/>
      <c r="D708" s="122"/>
      <c r="E708" s="6" t="s">
        <v>769</v>
      </c>
      <c r="F708" s="18">
        <v>139080629</v>
      </c>
      <c r="G708" s="41">
        <v>69.63845338950833</v>
      </c>
      <c r="H708" s="18">
        <v>96853599</v>
      </c>
      <c r="I708" s="30">
        <v>39770157</v>
      </c>
    </row>
    <row r="709" spans="1:9" s="47" customFormat="1" ht="15">
      <c r="A709" s="46"/>
      <c r="B709" s="46"/>
      <c r="C709" s="46"/>
      <c r="D709" s="122"/>
      <c r="E709" s="62" t="s">
        <v>720</v>
      </c>
      <c r="F709" s="18"/>
      <c r="G709" s="41"/>
      <c r="H709" s="18"/>
      <c r="I709" s="31">
        <v>34770157</v>
      </c>
    </row>
    <row r="710" spans="1:9" s="47" customFormat="1" ht="15">
      <c r="A710" s="46"/>
      <c r="B710" s="46"/>
      <c r="C710" s="46"/>
      <c r="D710" s="122"/>
      <c r="E710" s="59" t="s">
        <v>352</v>
      </c>
      <c r="F710" s="22"/>
      <c r="G710" s="40"/>
      <c r="H710" s="22"/>
      <c r="I710" s="31"/>
    </row>
    <row r="711" spans="1:9" s="47" customFormat="1" ht="60">
      <c r="A711" s="46"/>
      <c r="B711" s="46"/>
      <c r="C711" s="46"/>
      <c r="D711" s="122"/>
      <c r="E711" s="6" t="s">
        <v>179</v>
      </c>
      <c r="F711" s="18">
        <v>5272338</v>
      </c>
      <c r="G711" s="41">
        <v>67.04989323522126</v>
      </c>
      <c r="H711" s="18">
        <v>3535097</v>
      </c>
      <c r="I711" s="30">
        <v>1581702</v>
      </c>
    </row>
    <row r="712" spans="1:9" s="47" customFormat="1" ht="15">
      <c r="A712" s="46"/>
      <c r="B712" s="46"/>
      <c r="C712" s="46"/>
      <c r="D712" s="122"/>
      <c r="E712" s="62" t="s">
        <v>720</v>
      </c>
      <c r="F712" s="18"/>
      <c r="G712" s="41"/>
      <c r="H712" s="18"/>
      <c r="I712" s="31">
        <v>1318085</v>
      </c>
    </row>
    <row r="713" spans="1:9" s="47" customFormat="1" ht="45">
      <c r="A713" s="46"/>
      <c r="B713" s="46"/>
      <c r="C713" s="46"/>
      <c r="D713" s="122"/>
      <c r="E713" s="120" t="s">
        <v>46</v>
      </c>
      <c r="F713" s="18">
        <v>21902089</v>
      </c>
      <c r="G713" s="41">
        <v>69.4028638090184</v>
      </c>
      <c r="H713" s="18">
        <v>15200677</v>
      </c>
      <c r="I713" s="30">
        <v>6527032</v>
      </c>
    </row>
    <row r="714" spans="1:9" s="47" customFormat="1" ht="15">
      <c r="A714" s="46"/>
      <c r="B714" s="46"/>
      <c r="C714" s="46"/>
      <c r="D714" s="122"/>
      <c r="E714" s="9" t="s">
        <v>720</v>
      </c>
      <c r="F714" s="18"/>
      <c r="G714" s="41"/>
      <c r="H714" s="18"/>
      <c r="I714" s="31">
        <v>5439193</v>
      </c>
    </row>
    <row r="715" spans="1:9" s="47" customFormat="1" ht="90">
      <c r="A715" s="46"/>
      <c r="B715" s="46"/>
      <c r="C715" s="46"/>
      <c r="D715" s="122"/>
      <c r="E715" s="6" t="s">
        <v>232</v>
      </c>
      <c r="F715" s="18">
        <v>4345904</v>
      </c>
      <c r="G715" s="41">
        <v>68.7</v>
      </c>
      <c r="H715" s="18">
        <v>2986311</v>
      </c>
      <c r="I715" s="30">
        <v>1283467</v>
      </c>
    </row>
    <row r="716" spans="1:9" s="47" customFormat="1" ht="15">
      <c r="A716" s="46"/>
      <c r="B716" s="46"/>
      <c r="C716" s="46"/>
      <c r="D716" s="122"/>
      <c r="E716" s="62" t="s">
        <v>720</v>
      </c>
      <c r="F716" s="18"/>
      <c r="G716" s="41"/>
      <c r="H716" s="18"/>
      <c r="I716" s="31">
        <v>1069556</v>
      </c>
    </row>
    <row r="717" spans="1:9" s="47" customFormat="1" ht="30">
      <c r="A717" s="46"/>
      <c r="B717" s="46"/>
      <c r="C717" s="46"/>
      <c r="D717" s="122"/>
      <c r="E717" s="6" t="s">
        <v>180</v>
      </c>
      <c r="F717" s="18">
        <v>31700446</v>
      </c>
      <c r="G717" s="41">
        <v>70.1</v>
      </c>
      <c r="H717" s="18">
        <v>22223170</v>
      </c>
      <c r="I717" s="30">
        <v>9452768</v>
      </c>
    </row>
    <row r="718" spans="1:9" s="47" customFormat="1" ht="15">
      <c r="A718" s="46"/>
      <c r="B718" s="46"/>
      <c r="C718" s="46"/>
      <c r="D718" s="122"/>
      <c r="E718" s="62" t="s">
        <v>720</v>
      </c>
      <c r="F718" s="18"/>
      <c r="G718" s="41"/>
      <c r="H718" s="18"/>
      <c r="I718" s="31">
        <v>7877307</v>
      </c>
    </row>
    <row r="719" spans="1:9" s="47" customFormat="1" ht="15">
      <c r="A719" s="46"/>
      <c r="B719" s="46"/>
      <c r="C719" s="46"/>
      <c r="D719" s="122"/>
      <c r="E719" s="59" t="s">
        <v>461</v>
      </c>
      <c r="F719" s="22"/>
      <c r="G719" s="40"/>
      <c r="H719" s="22"/>
      <c r="I719" s="31"/>
    </row>
    <row r="720" spans="1:9" s="47" customFormat="1" ht="60">
      <c r="A720" s="46"/>
      <c r="B720" s="46"/>
      <c r="C720" s="46"/>
      <c r="D720" s="122"/>
      <c r="E720" s="6" t="s">
        <v>181</v>
      </c>
      <c r="F720" s="18">
        <v>38895689</v>
      </c>
      <c r="G720" s="41">
        <v>74.73182696416562</v>
      </c>
      <c r="H720" s="18">
        <v>29067459</v>
      </c>
      <c r="I720" s="30">
        <v>6224580</v>
      </c>
    </row>
    <row r="721" spans="1:9" s="47" customFormat="1" ht="15">
      <c r="A721" s="46"/>
      <c r="B721" s="46"/>
      <c r="C721" s="46"/>
      <c r="D721" s="122"/>
      <c r="E721" s="62" t="s">
        <v>720</v>
      </c>
      <c r="F721" s="18"/>
      <c r="G721" s="41"/>
      <c r="H721" s="18"/>
      <c r="I721" s="31">
        <v>5187150</v>
      </c>
    </row>
    <row r="722" spans="1:9" s="47" customFormat="1" ht="15">
      <c r="A722" s="46"/>
      <c r="B722" s="46"/>
      <c r="C722" s="46"/>
      <c r="D722" s="122"/>
      <c r="E722" s="59" t="s">
        <v>657</v>
      </c>
      <c r="F722" s="22"/>
      <c r="G722" s="40"/>
      <c r="H722" s="22"/>
      <c r="I722" s="31"/>
    </row>
    <row r="723" spans="1:9" s="47" customFormat="1" ht="45">
      <c r="A723" s="46"/>
      <c r="B723" s="46"/>
      <c r="C723" s="46"/>
      <c r="D723" s="122"/>
      <c r="E723" s="6" t="s">
        <v>182</v>
      </c>
      <c r="F723" s="18">
        <v>12169516</v>
      </c>
      <c r="G723" s="41">
        <v>64.9</v>
      </c>
      <c r="H723" s="18">
        <v>7899500</v>
      </c>
      <c r="I723" s="30">
        <v>3289610</v>
      </c>
    </row>
    <row r="724" spans="1:9" s="47" customFormat="1" ht="15">
      <c r="A724" s="46"/>
      <c r="B724" s="46"/>
      <c r="C724" s="46"/>
      <c r="D724" s="122"/>
      <c r="E724" s="62" t="s">
        <v>720</v>
      </c>
      <c r="F724" s="18"/>
      <c r="G724" s="41"/>
      <c r="H724" s="18"/>
      <c r="I724" s="31">
        <v>2991342</v>
      </c>
    </row>
    <row r="725" spans="1:9" s="47" customFormat="1" ht="15">
      <c r="A725" s="46"/>
      <c r="B725" s="46"/>
      <c r="C725" s="46"/>
      <c r="D725" s="122"/>
      <c r="E725" s="59" t="s">
        <v>577</v>
      </c>
      <c r="F725" s="22"/>
      <c r="G725" s="40"/>
      <c r="H725" s="22"/>
      <c r="I725" s="31"/>
    </row>
    <row r="726" spans="1:9" s="47" customFormat="1" ht="30">
      <c r="A726" s="46"/>
      <c r="B726" s="46"/>
      <c r="C726" s="46"/>
      <c r="D726" s="122"/>
      <c r="E726" s="6" t="s">
        <v>183</v>
      </c>
      <c r="F726" s="18">
        <v>19311953</v>
      </c>
      <c r="G726" s="41">
        <v>28.06951218242919</v>
      </c>
      <c r="H726" s="18">
        <v>5420771</v>
      </c>
      <c r="I726" s="30">
        <v>5793587</v>
      </c>
    </row>
    <row r="727" spans="1:9" s="47" customFormat="1" ht="15">
      <c r="A727" s="46"/>
      <c r="B727" s="46"/>
      <c r="C727" s="46"/>
      <c r="D727" s="122"/>
      <c r="E727" s="62" t="s">
        <v>720</v>
      </c>
      <c r="F727" s="18"/>
      <c r="G727" s="41"/>
      <c r="H727" s="18"/>
      <c r="I727" s="31">
        <v>4827989</v>
      </c>
    </row>
    <row r="728" spans="1:9" s="47" customFormat="1" ht="15">
      <c r="A728" s="46"/>
      <c r="B728" s="46"/>
      <c r="C728" s="46"/>
      <c r="D728" s="122"/>
      <c r="E728" s="59" t="s">
        <v>299</v>
      </c>
      <c r="F728" s="22"/>
      <c r="G728" s="40"/>
      <c r="H728" s="22"/>
      <c r="I728" s="31"/>
    </row>
    <row r="729" spans="1:9" s="47" customFormat="1" ht="75">
      <c r="A729" s="46"/>
      <c r="B729" s="46"/>
      <c r="C729" s="46"/>
      <c r="D729" s="122"/>
      <c r="E729" s="6" t="s">
        <v>184</v>
      </c>
      <c r="F729" s="18">
        <v>8213937</v>
      </c>
      <c r="G729" s="41">
        <v>70.7</v>
      </c>
      <c r="H729" s="18">
        <v>5808736</v>
      </c>
      <c r="I729" s="30">
        <v>1966163</v>
      </c>
    </row>
    <row r="730" spans="1:9" s="47" customFormat="1" ht="15">
      <c r="A730" s="46"/>
      <c r="B730" s="46"/>
      <c r="C730" s="46"/>
      <c r="D730" s="122"/>
      <c r="E730" s="62" t="s">
        <v>720</v>
      </c>
      <c r="F730" s="18"/>
      <c r="G730" s="41"/>
      <c r="H730" s="18"/>
      <c r="I730" s="31">
        <v>1638469</v>
      </c>
    </row>
    <row r="731" spans="1:10" s="34" customFormat="1" ht="54" customHeight="1">
      <c r="A731" s="46" t="s">
        <v>300</v>
      </c>
      <c r="B731" s="46" t="s">
        <v>301</v>
      </c>
      <c r="C731" s="46" t="s">
        <v>285</v>
      </c>
      <c r="D731" s="146" t="s">
        <v>302</v>
      </c>
      <c r="E731" s="6"/>
      <c r="F731" s="18"/>
      <c r="G731" s="67"/>
      <c r="H731" s="68"/>
      <c r="I731" s="30">
        <v>173343134</v>
      </c>
      <c r="J731" s="115" t="s">
        <v>541</v>
      </c>
    </row>
    <row r="732" spans="1:9" s="47" customFormat="1" ht="15">
      <c r="A732" s="46"/>
      <c r="B732" s="46"/>
      <c r="C732" s="46"/>
      <c r="D732" s="146"/>
      <c r="E732" s="9" t="s">
        <v>680</v>
      </c>
      <c r="F732" s="22"/>
      <c r="G732" s="64"/>
      <c r="H732" s="65"/>
      <c r="I732" s="31">
        <v>139604300</v>
      </c>
    </row>
    <row r="733" spans="1:9" s="34" customFormat="1" ht="15.75" customHeight="1">
      <c r="A733" s="50"/>
      <c r="B733" s="50"/>
      <c r="C733" s="50"/>
      <c r="D733" s="66"/>
      <c r="E733" s="59" t="s">
        <v>437</v>
      </c>
      <c r="F733" s="18"/>
      <c r="G733" s="67"/>
      <c r="H733" s="68"/>
      <c r="I733" s="30"/>
    </row>
    <row r="734" spans="1:9" s="34" customFormat="1" ht="45">
      <c r="A734" s="50"/>
      <c r="B734" s="50"/>
      <c r="C734" s="50"/>
      <c r="D734" s="66"/>
      <c r="E734" s="6" t="s">
        <v>185</v>
      </c>
      <c r="F734" s="18">
        <v>550510</v>
      </c>
      <c r="G734" s="131"/>
      <c r="H734" s="132"/>
      <c r="I734" s="30">
        <v>550510</v>
      </c>
    </row>
    <row r="735" spans="1:9" s="34" customFormat="1" ht="15">
      <c r="A735" s="50"/>
      <c r="B735" s="50"/>
      <c r="C735" s="50"/>
      <c r="D735" s="66"/>
      <c r="E735" s="59" t="s">
        <v>303</v>
      </c>
      <c r="F735" s="18"/>
      <c r="G735" s="67"/>
      <c r="H735" s="68"/>
      <c r="I735" s="30"/>
    </row>
    <row r="736" spans="1:9" s="34" customFormat="1" ht="45">
      <c r="A736" s="50"/>
      <c r="B736" s="50"/>
      <c r="C736" s="50"/>
      <c r="D736" s="66"/>
      <c r="E736" s="6" t="s">
        <v>186</v>
      </c>
      <c r="F736" s="18">
        <v>443577</v>
      </c>
      <c r="G736" s="131"/>
      <c r="H736" s="132"/>
      <c r="I736" s="30">
        <v>443577</v>
      </c>
    </row>
    <row r="737" spans="1:9" s="34" customFormat="1" ht="45">
      <c r="A737" s="50"/>
      <c r="B737" s="50"/>
      <c r="C737" s="50"/>
      <c r="D737" s="66"/>
      <c r="E737" s="6" t="s">
        <v>187</v>
      </c>
      <c r="F737" s="18">
        <v>237670</v>
      </c>
      <c r="G737" s="131"/>
      <c r="H737" s="132"/>
      <c r="I737" s="30">
        <v>237670</v>
      </c>
    </row>
    <row r="738" spans="1:9" s="34" customFormat="1" ht="15">
      <c r="A738" s="50"/>
      <c r="B738" s="50"/>
      <c r="C738" s="50"/>
      <c r="D738" s="66"/>
      <c r="E738" s="59" t="s">
        <v>577</v>
      </c>
      <c r="F738" s="18"/>
      <c r="G738" s="67"/>
      <c r="H738" s="68"/>
      <c r="I738" s="30"/>
    </row>
    <row r="739" spans="1:9" s="34" customFormat="1" ht="45">
      <c r="A739" s="50"/>
      <c r="B739" s="50"/>
      <c r="C739" s="50"/>
      <c r="D739" s="66"/>
      <c r="E739" s="6" t="s">
        <v>47</v>
      </c>
      <c r="F739" s="18">
        <v>237055</v>
      </c>
      <c r="G739" s="131"/>
      <c r="H739" s="132"/>
      <c r="I739" s="30">
        <v>237055</v>
      </c>
    </row>
    <row r="740" spans="1:9" s="34" customFormat="1" ht="45">
      <c r="A740" s="50"/>
      <c r="B740" s="50"/>
      <c r="C740" s="50"/>
      <c r="D740" s="66"/>
      <c r="E740" s="96" t="s">
        <v>188</v>
      </c>
      <c r="F740" s="18">
        <v>238744</v>
      </c>
      <c r="G740" s="131"/>
      <c r="H740" s="132"/>
      <c r="I740" s="30">
        <v>238744</v>
      </c>
    </row>
    <row r="741" spans="1:9" s="34" customFormat="1" ht="15">
      <c r="A741" s="50"/>
      <c r="B741" s="50"/>
      <c r="C741" s="50"/>
      <c r="D741" s="66"/>
      <c r="E741" s="59" t="s">
        <v>304</v>
      </c>
      <c r="F741" s="18"/>
      <c r="G741" s="67"/>
      <c r="H741" s="68"/>
      <c r="I741" s="30"/>
    </row>
    <row r="742" spans="1:9" s="34" customFormat="1" ht="45">
      <c r="A742" s="50"/>
      <c r="B742" s="50"/>
      <c r="C742" s="50"/>
      <c r="D742" s="66"/>
      <c r="E742" s="6" t="s">
        <v>189</v>
      </c>
      <c r="F742" s="18">
        <v>235803</v>
      </c>
      <c r="G742" s="131"/>
      <c r="H742" s="132"/>
      <c r="I742" s="30">
        <v>235803</v>
      </c>
    </row>
    <row r="743" spans="1:9" s="34" customFormat="1" ht="45">
      <c r="A743" s="50"/>
      <c r="B743" s="50"/>
      <c r="C743" s="50"/>
      <c r="D743" s="66"/>
      <c r="E743" s="6" t="s">
        <v>190</v>
      </c>
      <c r="F743" s="18">
        <v>239184</v>
      </c>
      <c r="G743" s="131"/>
      <c r="H743" s="132"/>
      <c r="I743" s="30">
        <v>239184</v>
      </c>
    </row>
    <row r="744" spans="1:9" s="34" customFormat="1" ht="45">
      <c r="A744" s="50"/>
      <c r="B744" s="50"/>
      <c r="C744" s="50"/>
      <c r="D744" s="66"/>
      <c r="E744" s="6" t="s">
        <v>191</v>
      </c>
      <c r="F744" s="18">
        <v>236009</v>
      </c>
      <c r="G744" s="131"/>
      <c r="H744" s="132"/>
      <c r="I744" s="30">
        <v>236009</v>
      </c>
    </row>
    <row r="745" spans="1:9" s="34" customFormat="1" ht="45">
      <c r="A745" s="50"/>
      <c r="B745" s="50"/>
      <c r="C745" s="50"/>
      <c r="D745" s="66"/>
      <c r="E745" s="6" t="s">
        <v>192</v>
      </c>
      <c r="F745" s="18">
        <v>241634</v>
      </c>
      <c r="G745" s="131"/>
      <c r="H745" s="132"/>
      <c r="I745" s="30">
        <v>241634</v>
      </c>
    </row>
    <row r="746" spans="1:9" s="34" customFormat="1" ht="21" customHeight="1">
      <c r="A746" s="50"/>
      <c r="B746" s="50"/>
      <c r="C746" s="50"/>
      <c r="D746" s="66"/>
      <c r="E746" s="59" t="s">
        <v>369</v>
      </c>
      <c r="F746" s="18"/>
      <c r="G746" s="67"/>
      <c r="H746" s="68"/>
      <c r="I746" s="30"/>
    </row>
    <row r="747" spans="1:9" s="34" customFormat="1" ht="45">
      <c r="A747" s="50"/>
      <c r="B747" s="50"/>
      <c r="C747" s="50"/>
      <c r="D747" s="66"/>
      <c r="E747" s="6" t="s">
        <v>48</v>
      </c>
      <c r="F747" s="18">
        <v>239654</v>
      </c>
      <c r="G747" s="131"/>
      <c r="H747" s="132"/>
      <c r="I747" s="30">
        <v>239654</v>
      </c>
    </row>
    <row r="748" spans="1:9" s="34" customFormat="1" ht="15">
      <c r="A748" s="50"/>
      <c r="B748" s="50"/>
      <c r="C748" s="50"/>
      <c r="D748" s="66"/>
      <c r="E748" s="59" t="s">
        <v>370</v>
      </c>
      <c r="F748" s="18"/>
      <c r="G748" s="131"/>
      <c r="H748" s="132"/>
      <c r="I748" s="30"/>
    </row>
    <row r="749" spans="1:9" s="34" customFormat="1" ht="45">
      <c r="A749" s="50"/>
      <c r="B749" s="50"/>
      <c r="C749" s="50"/>
      <c r="D749" s="66"/>
      <c r="E749" s="6" t="s">
        <v>193</v>
      </c>
      <c r="F749" s="18">
        <v>216669</v>
      </c>
      <c r="G749" s="131"/>
      <c r="H749" s="132"/>
      <c r="I749" s="30">
        <v>216669</v>
      </c>
    </row>
    <row r="750" spans="1:9" s="34" customFormat="1" ht="45">
      <c r="A750" s="50"/>
      <c r="B750" s="50"/>
      <c r="C750" s="50"/>
      <c r="D750" s="66"/>
      <c r="E750" s="6" t="s">
        <v>413</v>
      </c>
      <c r="F750" s="18">
        <v>223597</v>
      </c>
      <c r="G750" s="131"/>
      <c r="H750" s="132"/>
      <c r="I750" s="30">
        <v>223597</v>
      </c>
    </row>
    <row r="751" spans="1:9" s="34" customFormat="1" ht="15">
      <c r="A751" s="50"/>
      <c r="B751" s="50"/>
      <c r="C751" s="50"/>
      <c r="D751" s="66"/>
      <c r="E751" s="59" t="s">
        <v>746</v>
      </c>
      <c r="F751" s="18"/>
      <c r="G751" s="131"/>
      <c r="H751" s="132"/>
      <c r="I751" s="30"/>
    </row>
    <row r="752" spans="1:9" s="34" customFormat="1" ht="45">
      <c r="A752" s="50"/>
      <c r="B752" s="50"/>
      <c r="C752" s="50"/>
      <c r="D752" s="66"/>
      <c r="E752" s="6" t="s">
        <v>49</v>
      </c>
      <c r="F752" s="18">
        <v>239458</v>
      </c>
      <c r="G752" s="131"/>
      <c r="H752" s="132"/>
      <c r="I752" s="30">
        <v>239458</v>
      </c>
    </row>
    <row r="753" spans="1:9" s="34" customFormat="1" ht="15">
      <c r="A753" s="50"/>
      <c r="B753" s="50"/>
      <c r="C753" s="50"/>
      <c r="D753" s="66"/>
      <c r="E753" s="59" t="s">
        <v>460</v>
      </c>
      <c r="F753" s="18"/>
      <c r="G753" s="67"/>
      <c r="H753" s="68"/>
      <c r="I753" s="30"/>
    </row>
    <row r="754" spans="1:9" s="34" customFormat="1" ht="45">
      <c r="A754" s="50"/>
      <c r="B754" s="50"/>
      <c r="C754" s="50"/>
      <c r="D754" s="66"/>
      <c r="E754" s="6" t="s">
        <v>50</v>
      </c>
      <c r="F754" s="18">
        <v>255921</v>
      </c>
      <c r="G754" s="131"/>
      <c r="H754" s="132"/>
      <c r="I754" s="30">
        <v>255921</v>
      </c>
    </row>
    <row r="755" spans="1:9" s="34" customFormat="1" ht="15">
      <c r="A755" s="50"/>
      <c r="B755" s="50"/>
      <c r="C755" s="50"/>
      <c r="D755" s="66"/>
      <c r="E755" s="59" t="s">
        <v>378</v>
      </c>
      <c r="F755" s="18"/>
      <c r="G755" s="67"/>
      <c r="H755" s="68"/>
      <c r="I755" s="30"/>
    </row>
    <row r="756" spans="1:9" s="34" customFormat="1" ht="45">
      <c r="A756" s="50"/>
      <c r="B756" s="50"/>
      <c r="C756" s="50"/>
      <c r="D756" s="66"/>
      <c r="E756" s="6" t="s">
        <v>540</v>
      </c>
      <c r="F756" s="18">
        <v>245817</v>
      </c>
      <c r="G756" s="131"/>
      <c r="H756" s="132"/>
      <c r="I756" s="30">
        <v>245817</v>
      </c>
    </row>
    <row r="757" spans="1:9" s="34" customFormat="1" ht="45">
      <c r="A757" s="50"/>
      <c r="B757" s="50"/>
      <c r="C757" s="50"/>
      <c r="D757" s="66"/>
      <c r="E757" s="6" t="s">
        <v>194</v>
      </c>
      <c r="F757" s="18">
        <v>236214</v>
      </c>
      <c r="G757" s="131"/>
      <c r="H757" s="132"/>
      <c r="I757" s="30">
        <v>236214</v>
      </c>
    </row>
    <row r="758" spans="1:9" s="34" customFormat="1" ht="15">
      <c r="A758" s="50"/>
      <c r="B758" s="50"/>
      <c r="C758" s="50"/>
      <c r="D758" s="66"/>
      <c r="E758" s="59" t="s">
        <v>379</v>
      </c>
      <c r="F758" s="18"/>
      <c r="G758" s="67"/>
      <c r="H758" s="68"/>
      <c r="I758" s="30"/>
    </row>
    <row r="759" spans="1:9" s="34" customFormat="1" ht="45">
      <c r="A759" s="50"/>
      <c r="B759" s="50"/>
      <c r="C759" s="50"/>
      <c r="D759" s="66"/>
      <c r="E759" s="6" t="s">
        <v>51</v>
      </c>
      <c r="F759" s="18">
        <v>277634</v>
      </c>
      <c r="G759" s="131"/>
      <c r="H759" s="132"/>
      <c r="I759" s="30">
        <v>277634</v>
      </c>
    </row>
    <row r="760" spans="1:9" s="34" customFormat="1" ht="15">
      <c r="A760" s="50"/>
      <c r="B760" s="50"/>
      <c r="C760" s="50"/>
      <c r="D760" s="66"/>
      <c r="E760" s="59" t="s">
        <v>752</v>
      </c>
      <c r="F760" s="18"/>
      <c r="G760" s="67"/>
      <c r="H760" s="68"/>
      <c r="I760" s="30"/>
    </row>
    <row r="761" spans="1:9" s="34" customFormat="1" ht="45">
      <c r="A761" s="50"/>
      <c r="B761" s="50"/>
      <c r="C761" s="50"/>
      <c r="D761" s="66"/>
      <c r="E761" s="6" t="s">
        <v>195</v>
      </c>
      <c r="F761" s="18">
        <v>243684</v>
      </c>
      <c r="G761" s="131"/>
      <c r="H761" s="132"/>
      <c r="I761" s="30">
        <v>243684</v>
      </c>
    </row>
    <row r="762" spans="1:9" s="34" customFormat="1" ht="30">
      <c r="A762" s="50" t="s">
        <v>292</v>
      </c>
      <c r="B762" s="50" t="s">
        <v>293</v>
      </c>
      <c r="C762" s="50" t="s">
        <v>285</v>
      </c>
      <c r="D762" s="66" t="s">
        <v>294</v>
      </c>
      <c r="E762" s="6"/>
      <c r="F762" s="43"/>
      <c r="G762" s="67"/>
      <c r="H762" s="68"/>
      <c r="I762" s="30">
        <f>I763+I770+I771+I772+I774+I780+I784+I786+I788+I792+I766+I768+I782+I776+I777+I778</f>
        <v>104629930</v>
      </c>
    </row>
    <row r="763" spans="1:9" s="34" customFormat="1" ht="15">
      <c r="A763" s="50"/>
      <c r="B763" s="50"/>
      <c r="C763" s="50"/>
      <c r="D763" s="66"/>
      <c r="E763" s="6" t="s">
        <v>764</v>
      </c>
      <c r="F763" s="43"/>
      <c r="G763" s="67"/>
      <c r="H763" s="68"/>
      <c r="I763" s="30">
        <v>7417484</v>
      </c>
    </row>
    <row r="764" spans="1:9" s="34" customFormat="1" ht="15">
      <c r="A764" s="50"/>
      <c r="B764" s="50"/>
      <c r="C764" s="50"/>
      <c r="D764" s="66"/>
      <c r="E764" s="9" t="s">
        <v>684</v>
      </c>
      <c r="F764" s="43"/>
      <c r="G764" s="67"/>
      <c r="H764" s="68"/>
      <c r="I764" s="31">
        <v>7417484</v>
      </c>
    </row>
    <row r="765" spans="1:9" s="92" customFormat="1" ht="15">
      <c r="A765" s="91"/>
      <c r="B765" s="91"/>
      <c r="C765" s="91"/>
      <c r="D765" s="147"/>
      <c r="E765" s="59" t="s">
        <v>511</v>
      </c>
      <c r="F765" s="18"/>
      <c r="G765" s="131"/>
      <c r="H765" s="132"/>
      <c r="I765" s="133"/>
    </row>
    <row r="766" spans="1:9" s="103" customFormat="1" ht="19.5" customHeight="1">
      <c r="A766" s="102"/>
      <c r="B766" s="102"/>
      <c r="C766" s="102"/>
      <c r="D766" s="148"/>
      <c r="E766" s="66" t="s">
        <v>740</v>
      </c>
      <c r="F766" s="18">
        <v>27007627</v>
      </c>
      <c r="G766" s="131">
        <v>87.3</v>
      </c>
      <c r="H766" s="132">
        <v>23575146</v>
      </c>
      <c r="I766" s="133">
        <v>3000000</v>
      </c>
    </row>
    <row r="767" spans="1:9" s="47" customFormat="1" ht="15">
      <c r="A767" s="46"/>
      <c r="B767" s="46"/>
      <c r="C767" s="46"/>
      <c r="D767" s="122"/>
      <c r="E767" s="59" t="s">
        <v>727</v>
      </c>
      <c r="F767" s="18"/>
      <c r="G767" s="131"/>
      <c r="H767" s="132"/>
      <c r="I767" s="133"/>
    </row>
    <row r="768" spans="1:9" s="47" customFormat="1" ht="30">
      <c r="A768" s="46"/>
      <c r="B768" s="46"/>
      <c r="C768" s="46"/>
      <c r="D768" s="122"/>
      <c r="E768" s="6" t="s">
        <v>130</v>
      </c>
      <c r="F768" s="18">
        <v>44354472</v>
      </c>
      <c r="G768" s="131">
        <v>85.83884393889302</v>
      </c>
      <c r="H768" s="132">
        <v>38073366</v>
      </c>
      <c r="I768" s="133">
        <v>2000000</v>
      </c>
    </row>
    <row r="769" spans="1:9" s="47" customFormat="1" ht="15">
      <c r="A769" s="46"/>
      <c r="B769" s="46"/>
      <c r="C769" s="46"/>
      <c r="D769" s="122"/>
      <c r="E769" s="59" t="s">
        <v>462</v>
      </c>
      <c r="F769" s="18"/>
      <c r="G769" s="131"/>
      <c r="H769" s="132"/>
      <c r="I769" s="133"/>
    </row>
    <row r="770" spans="1:9" s="47" customFormat="1" ht="62.25" customHeight="1">
      <c r="A770" s="46"/>
      <c r="B770" s="46"/>
      <c r="C770" s="46"/>
      <c r="D770" s="122"/>
      <c r="E770" s="6" t="s">
        <v>0</v>
      </c>
      <c r="F770" s="18">
        <v>58352619</v>
      </c>
      <c r="G770" s="131">
        <v>5.076738715018087</v>
      </c>
      <c r="H770" s="132">
        <v>2962410</v>
      </c>
      <c r="I770" s="133">
        <v>2500000</v>
      </c>
    </row>
    <row r="771" spans="1:9" s="47" customFormat="1" ht="30">
      <c r="A771" s="46"/>
      <c r="B771" s="46"/>
      <c r="C771" s="46"/>
      <c r="D771" s="122"/>
      <c r="E771" s="6" t="s">
        <v>251</v>
      </c>
      <c r="F771" s="18">
        <v>55817878</v>
      </c>
      <c r="G771" s="131">
        <v>1.7501059427590566</v>
      </c>
      <c r="H771" s="132">
        <v>976872</v>
      </c>
      <c r="I771" s="133">
        <v>5000000</v>
      </c>
    </row>
    <row r="772" spans="1:9" s="47" customFormat="1" ht="45">
      <c r="A772" s="46"/>
      <c r="B772" s="46"/>
      <c r="C772" s="46"/>
      <c r="D772" s="122"/>
      <c r="E772" s="6" t="s">
        <v>742</v>
      </c>
      <c r="F772" s="18">
        <v>125772467</v>
      </c>
      <c r="G772" s="131">
        <v>90.1</v>
      </c>
      <c r="H772" s="132">
        <v>113303114</v>
      </c>
      <c r="I772" s="133">
        <v>12000000</v>
      </c>
    </row>
    <row r="773" spans="1:9" s="47" customFormat="1" ht="15">
      <c r="A773" s="46"/>
      <c r="B773" s="46"/>
      <c r="C773" s="46"/>
      <c r="D773" s="122"/>
      <c r="E773" s="9" t="s">
        <v>684</v>
      </c>
      <c r="F773" s="18"/>
      <c r="G773" s="131"/>
      <c r="H773" s="132"/>
      <c r="I773" s="133">
        <v>2000000</v>
      </c>
    </row>
    <row r="774" spans="1:9" s="47" customFormat="1" ht="39" customHeight="1">
      <c r="A774" s="46"/>
      <c r="B774" s="46"/>
      <c r="C774" s="46"/>
      <c r="D774" s="122"/>
      <c r="E774" s="6" t="s">
        <v>751</v>
      </c>
      <c r="F774" s="18">
        <v>132896200.00000001</v>
      </c>
      <c r="G774" s="131">
        <v>12.8</v>
      </c>
      <c r="H774" s="132">
        <v>17028309</v>
      </c>
      <c r="I774" s="133">
        <v>37121469</v>
      </c>
    </row>
    <row r="775" spans="1:9" s="47" customFormat="1" ht="15">
      <c r="A775" s="46"/>
      <c r="B775" s="46"/>
      <c r="C775" s="46"/>
      <c r="D775" s="122"/>
      <c r="E775" s="9" t="s">
        <v>684</v>
      </c>
      <c r="F775" s="18"/>
      <c r="G775" s="131"/>
      <c r="H775" s="132"/>
      <c r="I775" s="133">
        <v>37121469</v>
      </c>
    </row>
    <row r="776" spans="1:9" s="47" customFormat="1" ht="35.25" customHeight="1">
      <c r="A776" s="46"/>
      <c r="B776" s="46"/>
      <c r="C776" s="46"/>
      <c r="D776" s="122"/>
      <c r="E776" s="6" t="s">
        <v>441</v>
      </c>
      <c r="F776" s="18">
        <v>52537780</v>
      </c>
      <c r="G776" s="131">
        <v>52.7</v>
      </c>
      <c r="H776" s="132">
        <v>27696536</v>
      </c>
      <c r="I776" s="133">
        <v>8500000</v>
      </c>
    </row>
    <row r="777" spans="1:9" s="47" customFormat="1" ht="37.5" customHeight="1">
      <c r="A777" s="46"/>
      <c r="B777" s="46"/>
      <c r="C777" s="46"/>
      <c r="D777" s="122"/>
      <c r="E777" s="6" t="s">
        <v>586</v>
      </c>
      <c r="F777" s="18">
        <v>58294842</v>
      </c>
      <c r="G777" s="131">
        <v>88</v>
      </c>
      <c r="H777" s="132">
        <v>51294842</v>
      </c>
      <c r="I777" s="133">
        <v>5000000</v>
      </c>
    </row>
    <row r="778" spans="1:9" s="47" customFormat="1" ht="60">
      <c r="A778" s="46"/>
      <c r="B778" s="46"/>
      <c r="C778" s="46"/>
      <c r="D778" s="122"/>
      <c r="E778" s="6" t="s">
        <v>133</v>
      </c>
      <c r="F778" s="18">
        <v>47999365</v>
      </c>
      <c r="G778" s="131">
        <v>73.5</v>
      </c>
      <c r="H778" s="132">
        <v>35289365</v>
      </c>
      <c r="I778" s="133">
        <v>3000000</v>
      </c>
    </row>
    <row r="779" spans="1:9" s="47" customFormat="1" ht="15">
      <c r="A779" s="46"/>
      <c r="B779" s="46"/>
      <c r="C779" s="46"/>
      <c r="D779" s="122"/>
      <c r="E779" s="59" t="s">
        <v>698</v>
      </c>
      <c r="F779" s="104"/>
      <c r="G779" s="149"/>
      <c r="H779" s="150"/>
      <c r="I779" s="151"/>
    </row>
    <row r="780" spans="1:9" s="47" customFormat="1" ht="54.75" customHeight="1">
      <c r="A780" s="46"/>
      <c r="B780" s="46"/>
      <c r="C780" s="46"/>
      <c r="D780" s="122"/>
      <c r="E780" s="6" t="s">
        <v>196</v>
      </c>
      <c r="F780" s="18">
        <v>3215855</v>
      </c>
      <c r="G780" s="131">
        <v>22.3</v>
      </c>
      <c r="H780" s="132">
        <v>717035</v>
      </c>
      <c r="I780" s="133">
        <v>685057</v>
      </c>
    </row>
    <row r="781" spans="1:9" s="47" customFormat="1" ht="15">
      <c r="A781" s="46"/>
      <c r="B781" s="46"/>
      <c r="C781" s="46"/>
      <c r="D781" s="152"/>
      <c r="E781" s="62" t="s">
        <v>684</v>
      </c>
      <c r="F781" s="76"/>
      <c r="G781" s="153"/>
      <c r="H781" s="154"/>
      <c r="I781" s="155">
        <v>685057</v>
      </c>
    </row>
    <row r="782" spans="1:9" s="47" customFormat="1" ht="60">
      <c r="A782" s="46"/>
      <c r="B782" s="46"/>
      <c r="C782" s="46"/>
      <c r="D782" s="122"/>
      <c r="E782" s="6" t="s">
        <v>156</v>
      </c>
      <c r="F782" s="18">
        <v>12813486</v>
      </c>
      <c r="G782" s="131">
        <v>95.2</v>
      </c>
      <c r="H782" s="132">
        <v>12202058</v>
      </c>
      <c r="I782" s="133">
        <v>300000</v>
      </c>
    </row>
    <row r="783" spans="1:9" s="92" customFormat="1" ht="15">
      <c r="A783" s="91"/>
      <c r="B783" s="91"/>
      <c r="C783" s="91"/>
      <c r="D783" s="147"/>
      <c r="E783" s="80" t="s">
        <v>464</v>
      </c>
      <c r="F783" s="18"/>
      <c r="G783" s="131"/>
      <c r="H783" s="132"/>
      <c r="I783" s="133"/>
    </row>
    <row r="784" spans="1:9" s="92" customFormat="1" ht="45">
      <c r="A784" s="91"/>
      <c r="B784" s="91"/>
      <c r="C784" s="91"/>
      <c r="D784" s="147"/>
      <c r="E784" s="6" t="s">
        <v>368</v>
      </c>
      <c r="F784" s="18">
        <v>29786688.279999997</v>
      </c>
      <c r="G784" s="131">
        <v>11.9</v>
      </c>
      <c r="H784" s="132">
        <v>3555721</v>
      </c>
      <c r="I784" s="133">
        <v>8353249</v>
      </c>
    </row>
    <row r="785" spans="1:9" s="47" customFormat="1" ht="15">
      <c r="A785" s="46"/>
      <c r="B785" s="46"/>
      <c r="C785" s="46"/>
      <c r="D785" s="152"/>
      <c r="E785" s="9" t="s">
        <v>684</v>
      </c>
      <c r="F785" s="76"/>
      <c r="G785" s="153"/>
      <c r="H785" s="154"/>
      <c r="I785" s="155">
        <v>3353249</v>
      </c>
    </row>
    <row r="786" spans="1:9" s="92" customFormat="1" ht="60">
      <c r="A786" s="91"/>
      <c r="B786" s="91"/>
      <c r="C786" s="91"/>
      <c r="D786" s="147"/>
      <c r="E786" s="6" t="s">
        <v>164</v>
      </c>
      <c r="F786" s="18">
        <v>40962663</v>
      </c>
      <c r="G786" s="131">
        <v>29.3</v>
      </c>
      <c r="H786" s="132">
        <v>11982906</v>
      </c>
      <c r="I786" s="133">
        <v>5381605</v>
      </c>
    </row>
    <row r="787" spans="1:9" s="47" customFormat="1" ht="15">
      <c r="A787" s="46"/>
      <c r="B787" s="46"/>
      <c r="C787" s="46"/>
      <c r="D787" s="152"/>
      <c r="E787" s="9" t="s">
        <v>684</v>
      </c>
      <c r="F787" s="18"/>
      <c r="G787" s="156"/>
      <c r="H787" s="157"/>
      <c r="I787" s="137">
        <v>381605</v>
      </c>
    </row>
    <row r="788" spans="1:9" s="34" customFormat="1" ht="46.5">
      <c r="A788" s="50"/>
      <c r="B788" s="50"/>
      <c r="C788" s="50"/>
      <c r="D788" s="66"/>
      <c r="E788" s="6" t="s">
        <v>197</v>
      </c>
      <c r="F788" s="18">
        <v>13000000</v>
      </c>
      <c r="G788" s="131">
        <v>7.065992307692308</v>
      </c>
      <c r="H788" s="132">
        <v>918579</v>
      </c>
      <c r="I788" s="133">
        <v>1371066</v>
      </c>
    </row>
    <row r="789" spans="1:9" s="79" customFormat="1" ht="15">
      <c r="A789" s="77"/>
      <c r="B789" s="77"/>
      <c r="C789" s="77"/>
      <c r="D789" s="158"/>
      <c r="E789" s="9" t="s">
        <v>684</v>
      </c>
      <c r="F789" s="18"/>
      <c r="G789" s="131"/>
      <c r="H789" s="132"/>
      <c r="I789" s="133">
        <v>1371066</v>
      </c>
    </row>
    <row r="790" spans="1:9" s="79" customFormat="1" ht="15">
      <c r="A790" s="77"/>
      <c r="B790" s="77"/>
      <c r="C790" s="77"/>
      <c r="D790" s="158"/>
      <c r="E790" s="9" t="s">
        <v>685</v>
      </c>
      <c r="F790" s="18"/>
      <c r="G790" s="131"/>
      <c r="H790" s="132"/>
      <c r="I790" s="133">
        <v>111075</v>
      </c>
    </row>
    <row r="791" spans="1:9" s="79" customFormat="1" ht="15">
      <c r="A791" s="77"/>
      <c r="B791" s="77"/>
      <c r="C791" s="77"/>
      <c r="D791" s="158"/>
      <c r="E791" s="93" t="s">
        <v>460</v>
      </c>
      <c r="F791" s="78"/>
      <c r="G791" s="153"/>
      <c r="H791" s="154"/>
      <c r="I791" s="141"/>
    </row>
    <row r="792" spans="1:9" s="79" customFormat="1" ht="45">
      <c r="A792" s="50"/>
      <c r="B792" s="50"/>
      <c r="C792" s="50"/>
      <c r="D792" s="66"/>
      <c r="E792" s="6" t="s">
        <v>364</v>
      </c>
      <c r="F792" s="18">
        <v>58243218</v>
      </c>
      <c r="G792" s="131">
        <v>93.5</v>
      </c>
      <c r="H792" s="132">
        <v>54480686</v>
      </c>
      <c r="I792" s="133">
        <v>3000000</v>
      </c>
    </row>
    <row r="793" spans="1:9" s="60" customFormat="1" ht="15">
      <c r="A793" s="46"/>
      <c r="B793" s="46"/>
      <c r="C793" s="46"/>
      <c r="D793" s="122"/>
      <c r="E793" s="9" t="s">
        <v>684</v>
      </c>
      <c r="F793" s="22"/>
      <c r="G793" s="135"/>
      <c r="H793" s="136"/>
      <c r="I793" s="137">
        <v>3000000</v>
      </c>
    </row>
    <row r="794" spans="1:14" s="79" customFormat="1" ht="20.25" customHeight="1">
      <c r="A794" s="50" t="s">
        <v>579</v>
      </c>
      <c r="B794" s="50" t="s">
        <v>272</v>
      </c>
      <c r="C794" s="50" t="s">
        <v>763</v>
      </c>
      <c r="D794" s="66" t="s">
        <v>580</v>
      </c>
      <c r="E794" s="6"/>
      <c r="F794" s="18"/>
      <c r="G794" s="131"/>
      <c r="H794" s="132"/>
      <c r="I794" s="133">
        <f>I796</f>
        <v>10100000</v>
      </c>
      <c r="J794" s="35"/>
      <c r="K794" s="35"/>
      <c r="L794" s="35"/>
      <c r="M794" s="35"/>
      <c r="N794" s="35"/>
    </row>
    <row r="795" spans="1:14" s="79" customFormat="1" ht="13.5" customHeight="1">
      <c r="A795" s="50"/>
      <c r="B795" s="50"/>
      <c r="C795" s="50"/>
      <c r="D795" s="66" t="s">
        <v>261</v>
      </c>
      <c r="E795" s="6"/>
      <c r="F795" s="18"/>
      <c r="G795" s="131"/>
      <c r="H795" s="132"/>
      <c r="I795" s="133"/>
      <c r="J795" s="35"/>
      <c r="K795" s="35"/>
      <c r="L795" s="35"/>
      <c r="M795" s="35"/>
      <c r="N795" s="35"/>
    </row>
    <row r="796" spans="1:14" s="79" customFormat="1" ht="45">
      <c r="A796" s="50"/>
      <c r="B796" s="50"/>
      <c r="C796" s="50"/>
      <c r="D796" s="9" t="s">
        <v>348</v>
      </c>
      <c r="E796" s="6" t="s">
        <v>764</v>
      </c>
      <c r="F796" s="18"/>
      <c r="G796" s="131"/>
      <c r="H796" s="132"/>
      <c r="I796" s="137">
        <f>100000+10000000</f>
        <v>10100000</v>
      </c>
      <c r="J796" s="47"/>
      <c r="K796" s="47"/>
      <c r="L796" s="47"/>
      <c r="M796" s="47"/>
      <c r="N796" s="47"/>
    </row>
    <row r="797" spans="1:9" s="35" customFormat="1" ht="33" customHeight="1">
      <c r="A797" s="37" t="s">
        <v>620</v>
      </c>
      <c r="B797" s="37"/>
      <c r="C797" s="10"/>
      <c r="D797" s="10" t="s">
        <v>608</v>
      </c>
      <c r="E797" s="11"/>
      <c r="F797" s="20"/>
      <c r="G797" s="21"/>
      <c r="H797" s="21"/>
      <c r="I797" s="29">
        <f>I799</f>
        <v>120000</v>
      </c>
    </row>
    <row r="798" spans="1:9" s="35" customFormat="1" ht="30.75" customHeight="1">
      <c r="A798" s="37" t="s">
        <v>621</v>
      </c>
      <c r="B798" s="37"/>
      <c r="C798" s="10"/>
      <c r="D798" s="10" t="s">
        <v>608</v>
      </c>
      <c r="E798" s="11"/>
      <c r="F798" s="20"/>
      <c r="G798" s="21"/>
      <c r="H798" s="21"/>
      <c r="I798" s="29">
        <f>I799</f>
        <v>120000</v>
      </c>
    </row>
    <row r="799" spans="1:9" s="47" customFormat="1" ht="34.5" customHeight="1">
      <c r="A799" s="50" t="s">
        <v>622</v>
      </c>
      <c r="B799" s="50" t="s">
        <v>623</v>
      </c>
      <c r="C799" s="50" t="s">
        <v>609</v>
      </c>
      <c r="D799" s="66" t="s">
        <v>624</v>
      </c>
      <c r="E799" s="6" t="s">
        <v>764</v>
      </c>
      <c r="F799" s="18"/>
      <c r="G799" s="19"/>
      <c r="H799" s="18"/>
      <c r="I799" s="30">
        <v>120000</v>
      </c>
    </row>
    <row r="800" spans="1:9" s="35" customFormat="1" ht="45" customHeight="1">
      <c r="A800" s="37" t="s">
        <v>631</v>
      </c>
      <c r="B800" s="37"/>
      <c r="C800" s="10"/>
      <c r="D800" s="10" t="s">
        <v>779</v>
      </c>
      <c r="E800" s="11"/>
      <c r="F800" s="20"/>
      <c r="G800" s="21"/>
      <c r="H800" s="21"/>
      <c r="I800" s="29">
        <f>I801</f>
        <v>13300000</v>
      </c>
    </row>
    <row r="801" spans="1:9" s="35" customFormat="1" ht="45" customHeight="1">
      <c r="A801" s="37" t="s">
        <v>632</v>
      </c>
      <c r="B801" s="37"/>
      <c r="C801" s="10"/>
      <c r="D801" s="10" t="s">
        <v>779</v>
      </c>
      <c r="E801" s="11"/>
      <c r="F801" s="20"/>
      <c r="G801" s="21"/>
      <c r="H801" s="21"/>
      <c r="I801" s="29">
        <f>I802</f>
        <v>13300000</v>
      </c>
    </row>
    <row r="802" spans="1:9" s="47" customFormat="1" ht="23.25" customHeight="1">
      <c r="A802" s="50" t="s">
        <v>625</v>
      </c>
      <c r="B802" s="50" t="s">
        <v>626</v>
      </c>
      <c r="C802" s="50" t="s">
        <v>724</v>
      </c>
      <c r="D802" s="66" t="s">
        <v>627</v>
      </c>
      <c r="E802" s="6" t="s">
        <v>764</v>
      </c>
      <c r="F802" s="18"/>
      <c r="G802" s="19"/>
      <c r="H802" s="18"/>
      <c r="I802" s="30">
        <f>2300000+11000000</f>
        <v>13300000</v>
      </c>
    </row>
    <row r="803" spans="1:14" s="60" customFormat="1" ht="42.75">
      <c r="A803" s="37" t="s">
        <v>548</v>
      </c>
      <c r="B803" s="37"/>
      <c r="C803" s="10"/>
      <c r="D803" s="10" t="s">
        <v>546</v>
      </c>
      <c r="E803" s="6"/>
      <c r="F803" s="18"/>
      <c r="G803" s="19"/>
      <c r="H803" s="18"/>
      <c r="I803" s="29">
        <f>I804</f>
        <v>18650000</v>
      </c>
      <c r="J803" s="35"/>
      <c r="K803" s="35"/>
      <c r="L803" s="35"/>
      <c r="M803" s="35"/>
      <c r="N803" s="35"/>
    </row>
    <row r="804" spans="1:14" s="60" customFormat="1" ht="42.75">
      <c r="A804" s="37" t="s">
        <v>549</v>
      </c>
      <c r="B804" s="37"/>
      <c r="C804" s="10"/>
      <c r="D804" s="10" t="s">
        <v>546</v>
      </c>
      <c r="E804" s="6"/>
      <c r="F804" s="18"/>
      <c r="G804" s="19"/>
      <c r="H804" s="18"/>
      <c r="I804" s="29">
        <f>I805</f>
        <v>18650000</v>
      </c>
      <c r="J804" s="36"/>
      <c r="K804" s="36"/>
      <c r="L804" s="36"/>
      <c r="M804" s="36"/>
      <c r="N804" s="36"/>
    </row>
    <row r="805" spans="1:14" s="60" customFormat="1" ht="45">
      <c r="A805" s="50" t="s">
        <v>572</v>
      </c>
      <c r="B805" s="50" t="s">
        <v>689</v>
      </c>
      <c r="C805" s="50" t="s">
        <v>763</v>
      </c>
      <c r="D805" s="66" t="s">
        <v>547</v>
      </c>
      <c r="E805" s="6"/>
      <c r="F805" s="18"/>
      <c r="G805" s="19"/>
      <c r="H805" s="18"/>
      <c r="I805" s="30">
        <f>20800000-2150000</f>
        <v>18650000</v>
      </c>
      <c r="J805" s="34"/>
      <c r="K805" s="34"/>
      <c r="L805" s="34"/>
      <c r="M805" s="34"/>
      <c r="N805" s="34"/>
    </row>
    <row r="806" spans="1:14" s="35" customFormat="1" ht="50.25" customHeight="1">
      <c r="A806" s="10" t="s">
        <v>256</v>
      </c>
      <c r="B806" s="37"/>
      <c r="C806" s="10"/>
      <c r="D806" s="10" t="s">
        <v>255</v>
      </c>
      <c r="E806" s="11"/>
      <c r="F806" s="20"/>
      <c r="G806" s="21"/>
      <c r="H806" s="21"/>
      <c r="I806" s="29">
        <f>I807</f>
        <v>6610000</v>
      </c>
      <c r="J806" s="60"/>
      <c r="K806" s="60"/>
      <c r="L806" s="60"/>
      <c r="M806" s="60"/>
      <c r="N806" s="60"/>
    </row>
    <row r="807" spans="1:14" s="36" customFormat="1" ht="45.75" customHeight="1">
      <c r="A807" s="10" t="s">
        <v>257</v>
      </c>
      <c r="B807" s="32"/>
      <c r="C807" s="32"/>
      <c r="D807" s="10" t="s">
        <v>255</v>
      </c>
      <c r="E807" s="33"/>
      <c r="F807" s="20"/>
      <c r="G807" s="21"/>
      <c r="H807" s="21"/>
      <c r="I807" s="29">
        <f>I808</f>
        <v>6610000</v>
      </c>
      <c r="J807" s="35"/>
      <c r="K807" s="35"/>
      <c r="L807" s="35"/>
      <c r="M807" s="35"/>
      <c r="N807" s="35"/>
    </row>
    <row r="808" spans="1:14" s="34" customFormat="1" ht="18" customHeight="1">
      <c r="A808" s="50" t="s">
        <v>258</v>
      </c>
      <c r="B808" s="50" t="s">
        <v>612</v>
      </c>
      <c r="C808" s="50" t="s">
        <v>760</v>
      </c>
      <c r="D808" s="66" t="s">
        <v>267</v>
      </c>
      <c r="E808" s="6" t="s">
        <v>764</v>
      </c>
      <c r="F808" s="18"/>
      <c r="G808" s="19"/>
      <c r="H808" s="18"/>
      <c r="I808" s="30">
        <f>I809</f>
        <v>6610000</v>
      </c>
      <c r="J808" s="35"/>
      <c r="K808" s="35"/>
      <c r="L808" s="35"/>
      <c r="M808" s="35"/>
      <c r="N808" s="35"/>
    </row>
    <row r="809" spans="1:14" s="60" customFormat="1" ht="18" customHeight="1">
      <c r="A809" s="46" t="s">
        <v>508</v>
      </c>
      <c r="B809" s="46" t="s">
        <v>393</v>
      </c>
      <c r="C809" s="46" t="s">
        <v>760</v>
      </c>
      <c r="D809" s="122" t="s">
        <v>394</v>
      </c>
      <c r="E809" s="9" t="s">
        <v>764</v>
      </c>
      <c r="F809" s="22"/>
      <c r="G809" s="23"/>
      <c r="H809" s="22"/>
      <c r="I809" s="31">
        <v>6610000</v>
      </c>
      <c r="J809" s="47"/>
      <c r="K809" s="47"/>
      <c r="L809" s="47"/>
      <c r="M809" s="47"/>
      <c r="N809" s="47"/>
    </row>
    <row r="810" spans="1:14" s="35" customFormat="1" ht="35.25" customHeight="1">
      <c r="A810" s="37" t="s">
        <v>686</v>
      </c>
      <c r="B810" s="37"/>
      <c r="C810" s="10"/>
      <c r="D810" s="10" t="s">
        <v>529</v>
      </c>
      <c r="E810" s="11"/>
      <c r="F810" s="20"/>
      <c r="G810" s="21"/>
      <c r="H810" s="21"/>
      <c r="I810" s="29">
        <f>I811</f>
        <v>8717677</v>
      </c>
      <c r="J810" s="60"/>
      <c r="K810" s="60"/>
      <c r="L810" s="60"/>
      <c r="M810" s="60"/>
      <c r="N810" s="60"/>
    </row>
    <row r="811" spans="1:14" s="35" customFormat="1" ht="39" customHeight="1">
      <c r="A811" s="37" t="s">
        <v>687</v>
      </c>
      <c r="B811" s="37"/>
      <c r="C811" s="10"/>
      <c r="D811" s="10" t="s">
        <v>529</v>
      </c>
      <c r="E811" s="11"/>
      <c r="F811" s="20"/>
      <c r="G811" s="21"/>
      <c r="H811" s="21"/>
      <c r="I811" s="29">
        <f>I812</f>
        <v>8717677</v>
      </c>
      <c r="J811" s="60"/>
      <c r="K811" s="60"/>
      <c r="L811" s="60"/>
      <c r="M811" s="60"/>
      <c r="N811" s="60"/>
    </row>
    <row r="812" spans="1:14" s="47" customFormat="1" ht="45">
      <c r="A812" s="50" t="s">
        <v>688</v>
      </c>
      <c r="B812" s="50" t="s">
        <v>689</v>
      </c>
      <c r="C812" s="50" t="s">
        <v>763</v>
      </c>
      <c r="D812" s="66" t="s">
        <v>530</v>
      </c>
      <c r="E812" s="6" t="s">
        <v>764</v>
      </c>
      <c r="F812" s="18"/>
      <c r="G812" s="19"/>
      <c r="H812" s="18"/>
      <c r="I812" s="30">
        <v>8717677</v>
      </c>
      <c r="J812" s="60"/>
      <c r="K812" s="60"/>
      <c r="L812" s="60"/>
      <c r="M812" s="60"/>
      <c r="N812" s="60"/>
    </row>
    <row r="813" spans="1:9" s="60" customFormat="1" ht="15">
      <c r="A813" s="50"/>
      <c r="B813" s="50"/>
      <c r="C813" s="50"/>
      <c r="D813" s="62" t="s">
        <v>680</v>
      </c>
      <c r="E813" s="6"/>
      <c r="F813" s="18"/>
      <c r="G813" s="19"/>
      <c r="H813" s="18"/>
      <c r="I813" s="31">
        <v>8717677</v>
      </c>
    </row>
    <row r="814" spans="1:14" s="35" customFormat="1" ht="36.75" customHeight="1">
      <c r="A814" s="37" t="s">
        <v>651</v>
      </c>
      <c r="B814" s="37"/>
      <c r="C814" s="10"/>
      <c r="D814" s="10" t="s">
        <v>650</v>
      </c>
      <c r="E814" s="11"/>
      <c r="F814" s="20"/>
      <c r="G814" s="21"/>
      <c r="H814" s="21"/>
      <c r="I814" s="29">
        <f>I815</f>
        <v>3429500</v>
      </c>
      <c r="J814" s="60"/>
      <c r="K814" s="60"/>
      <c r="L814" s="60"/>
      <c r="M814" s="60"/>
      <c r="N814" s="60"/>
    </row>
    <row r="815" spans="1:14" s="35" customFormat="1" ht="36.75" customHeight="1">
      <c r="A815" s="37" t="s">
        <v>652</v>
      </c>
      <c r="B815" s="37"/>
      <c r="C815" s="10"/>
      <c r="D815" s="10" t="s">
        <v>650</v>
      </c>
      <c r="E815" s="11"/>
      <c r="F815" s="20"/>
      <c r="G815" s="21"/>
      <c r="H815" s="21"/>
      <c r="I815" s="29">
        <f>I816+I819+I820</f>
        <v>3429500</v>
      </c>
      <c r="J815" s="60"/>
      <c r="K815" s="60"/>
      <c r="L815" s="60"/>
      <c r="M815" s="60"/>
      <c r="N815" s="60"/>
    </row>
    <row r="816" spans="1:14" s="47" customFormat="1" ht="31.5" customHeight="1">
      <c r="A816" s="50" t="s">
        <v>653</v>
      </c>
      <c r="B816" s="50" t="s">
        <v>628</v>
      </c>
      <c r="C816" s="50" t="s">
        <v>780</v>
      </c>
      <c r="D816" s="66" t="s">
        <v>721</v>
      </c>
      <c r="E816" s="6" t="s">
        <v>764</v>
      </c>
      <c r="F816" s="18"/>
      <c r="G816" s="19"/>
      <c r="H816" s="18"/>
      <c r="I816" s="30">
        <v>1429500</v>
      </c>
      <c r="J816" s="60"/>
      <c r="K816" s="60"/>
      <c r="L816" s="60"/>
      <c r="M816" s="60"/>
      <c r="N816" s="60"/>
    </row>
    <row r="817" spans="1:14" s="47" customFormat="1" ht="15">
      <c r="A817" s="50" t="s">
        <v>692</v>
      </c>
      <c r="B817" s="50" t="s">
        <v>272</v>
      </c>
      <c r="C817" s="50" t="s">
        <v>763</v>
      </c>
      <c r="D817" s="66" t="s">
        <v>580</v>
      </c>
      <c r="E817" s="6"/>
      <c r="F817" s="18"/>
      <c r="G817" s="19"/>
      <c r="H817" s="18"/>
      <c r="I817" s="30">
        <f>I819</f>
        <v>1000000</v>
      </c>
      <c r="J817" s="60"/>
      <c r="K817" s="60"/>
      <c r="L817" s="60"/>
      <c r="M817" s="60"/>
      <c r="N817" s="60"/>
    </row>
    <row r="818" spans="1:14" s="47" customFormat="1" ht="15">
      <c r="A818" s="50"/>
      <c r="B818" s="50"/>
      <c r="C818" s="50"/>
      <c r="D818" s="66" t="s">
        <v>261</v>
      </c>
      <c r="E818" s="6"/>
      <c r="F818" s="18"/>
      <c r="G818" s="19"/>
      <c r="H818" s="18"/>
      <c r="I818" s="30"/>
      <c r="J818" s="60"/>
      <c r="K818" s="60"/>
      <c r="L818" s="60"/>
      <c r="M818" s="60"/>
      <c r="N818" s="60"/>
    </row>
    <row r="819" spans="1:14" s="47" customFormat="1" ht="39" customHeight="1">
      <c r="A819" s="46"/>
      <c r="B819" s="46"/>
      <c r="C819" s="46"/>
      <c r="D819" s="122" t="s">
        <v>693</v>
      </c>
      <c r="E819" s="9" t="s">
        <v>764</v>
      </c>
      <c r="F819" s="22"/>
      <c r="G819" s="23"/>
      <c r="H819" s="22"/>
      <c r="I819" s="31">
        <v>1000000</v>
      </c>
      <c r="J819" s="60"/>
      <c r="K819" s="60"/>
      <c r="L819" s="60"/>
      <c r="M819" s="60"/>
      <c r="N819" s="60"/>
    </row>
    <row r="820" spans="1:14" s="47" customFormat="1" ht="45">
      <c r="A820" s="50" t="s">
        <v>694</v>
      </c>
      <c r="B820" s="50" t="s">
        <v>689</v>
      </c>
      <c r="C820" s="50" t="s">
        <v>763</v>
      </c>
      <c r="D820" s="66" t="s">
        <v>530</v>
      </c>
      <c r="E820" s="6" t="s">
        <v>764</v>
      </c>
      <c r="F820" s="18"/>
      <c r="G820" s="19"/>
      <c r="H820" s="18"/>
      <c r="I820" s="30">
        <v>1000000</v>
      </c>
      <c r="J820" s="60"/>
      <c r="K820" s="60"/>
      <c r="L820" s="60"/>
      <c r="M820" s="60"/>
      <c r="N820" s="60"/>
    </row>
    <row r="821" spans="1:9" s="60" customFormat="1" ht="34.5" customHeight="1">
      <c r="A821" s="37" t="s">
        <v>561</v>
      </c>
      <c r="B821" s="37"/>
      <c r="C821" s="10"/>
      <c r="D821" s="10" t="s">
        <v>607</v>
      </c>
      <c r="E821" s="6"/>
      <c r="F821" s="18"/>
      <c r="G821" s="19"/>
      <c r="H821" s="18"/>
      <c r="I821" s="29">
        <f>I822</f>
        <v>250000</v>
      </c>
    </row>
    <row r="822" spans="1:9" s="60" customFormat="1" ht="28.5">
      <c r="A822" s="37" t="s">
        <v>562</v>
      </c>
      <c r="B822" s="37"/>
      <c r="C822" s="10"/>
      <c r="D822" s="10" t="s">
        <v>607</v>
      </c>
      <c r="E822" s="6"/>
      <c r="F822" s="18"/>
      <c r="G822" s="19"/>
      <c r="H822" s="18"/>
      <c r="I822" s="29">
        <f>I823</f>
        <v>250000</v>
      </c>
    </row>
    <row r="823" spans="1:9" s="60" customFormat="1" ht="15">
      <c r="A823" s="50" t="s">
        <v>563</v>
      </c>
      <c r="B823" s="50" t="s">
        <v>787</v>
      </c>
      <c r="C823" s="50"/>
      <c r="D823" s="66" t="s">
        <v>789</v>
      </c>
      <c r="E823" s="6"/>
      <c r="F823" s="18"/>
      <c r="G823" s="19"/>
      <c r="H823" s="18"/>
      <c r="I823" s="30">
        <f>I824</f>
        <v>250000</v>
      </c>
    </row>
    <row r="824" spans="1:9" s="60" customFormat="1" ht="15">
      <c r="A824" s="46" t="s">
        <v>564</v>
      </c>
      <c r="B824" s="46" t="s">
        <v>565</v>
      </c>
      <c r="C824" s="46" t="s">
        <v>788</v>
      </c>
      <c r="D824" s="122" t="s">
        <v>566</v>
      </c>
      <c r="E824" s="9"/>
      <c r="F824" s="22"/>
      <c r="G824" s="23"/>
      <c r="H824" s="22"/>
      <c r="I824" s="31">
        <v>250000</v>
      </c>
    </row>
    <row r="825" spans="1:14" s="60" customFormat="1" ht="28.5">
      <c r="A825" s="37" t="s">
        <v>573</v>
      </c>
      <c r="B825" s="37"/>
      <c r="C825" s="10"/>
      <c r="D825" s="10" t="s">
        <v>560</v>
      </c>
      <c r="E825" s="6"/>
      <c r="F825" s="18"/>
      <c r="G825" s="19"/>
      <c r="H825" s="18"/>
      <c r="I825" s="29">
        <f>I826</f>
        <v>10530000</v>
      </c>
      <c r="J825" s="3"/>
      <c r="K825" s="3"/>
      <c r="L825" s="3"/>
      <c r="M825" s="3"/>
      <c r="N825" s="3"/>
    </row>
    <row r="826" spans="1:14" s="60" customFormat="1" ht="28.5">
      <c r="A826" s="37" t="s">
        <v>574</v>
      </c>
      <c r="B826" s="37"/>
      <c r="C826" s="10"/>
      <c r="D826" s="10" t="s">
        <v>560</v>
      </c>
      <c r="E826" s="6"/>
      <c r="F826" s="18"/>
      <c r="G826" s="19"/>
      <c r="H826" s="18"/>
      <c r="I826" s="29">
        <f>I827</f>
        <v>10530000</v>
      </c>
      <c r="J826" s="3"/>
      <c r="K826" s="3"/>
      <c r="L826" s="3"/>
      <c r="M826" s="3"/>
      <c r="N826" s="3"/>
    </row>
    <row r="827" spans="1:14" s="60" customFormat="1" ht="45">
      <c r="A827" s="50" t="s">
        <v>575</v>
      </c>
      <c r="B827" s="50" t="s">
        <v>689</v>
      </c>
      <c r="C827" s="50" t="s">
        <v>763</v>
      </c>
      <c r="D827" s="66" t="s">
        <v>547</v>
      </c>
      <c r="E827" s="6"/>
      <c r="F827" s="18"/>
      <c r="G827" s="19"/>
      <c r="H827" s="18"/>
      <c r="I827" s="30">
        <f>11000000-470000</f>
        <v>10530000</v>
      </c>
      <c r="J827" s="3"/>
      <c r="K827" s="3"/>
      <c r="L827" s="3"/>
      <c r="M827" s="3"/>
      <c r="N827" s="3"/>
    </row>
    <row r="828" spans="1:9" ht="24.75" customHeight="1">
      <c r="A828" s="105"/>
      <c r="B828" s="105"/>
      <c r="C828" s="105"/>
      <c r="D828" s="159" t="s">
        <v>758</v>
      </c>
      <c r="E828" s="106"/>
      <c r="F828" s="107"/>
      <c r="G828" s="108"/>
      <c r="H828" s="107"/>
      <c r="I828" s="39">
        <f>I814+I806+I800+I797+I122+I311+I95+I82+I50+I23+I8+I117+I810+I803+I825+I821+I19</f>
        <v>4514132690.12</v>
      </c>
    </row>
    <row r="829" spans="1:9" ht="24.75" customHeight="1">
      <c r="A829" s="164"/>
      <c r="B829" s="164"/>
      <c r="C829" s="164"/>
      <c r="D829" s="165"/>
      <c r="E829" s="166"/>
      <c r="F829" s="167"/>
      <c r="G829" s="168"/>
      <c r="H829" s="167"/>
      <c r="I829" s="169"/>
    </row>
    <row r="830" spans="1:9" ht="24.75" customHeight="1">
      <c r="A830" s="164"/>
      <c r="B830" s="164"/>
      <c r="C830" s="164"/>
      <c r="D830" s="165"/>
      <c r="E830" s="166"/>
      <c r="F830" s="167"/>
      <c r="G830" s="168"/>
      <c r="H830" s="167"/>
      <c r="I830" s="169"/>
    </row>
    <row r="831" spans="7:8" ht="12.75">
      <c r="G831" s="179"/>
      <c r="H831" s="179"/>
    </row>
    <row r="832" spans="3:9" ht="51" customHeight="1">
      <c r="C832" s="177" t="s">
        <v>615</v>
      </c>
      <c r="D832" s="177"/>
      <c r="E832" s="177"/>
      <c r="F832" s="28"/>
      <c r="G832" s="175" t="s">
        <v>363</v>
      </c>
      <c r="H832" s="176"/>
      <c r="I832" s="24"/>
    </row>
    <row r="833" ht="12.75">
      <c r="I833" s="7"/>
    </row>
    <row r="834" ht="14.25">
      <c r="I834" s="39">
        <v>4514132690.12</v>
      </c>
    </row>
    <row r="835" spans="1:9" ht="14.25">
      <c r="A835" s="17"/>
      <c r="B835" s="17"/>
      <c r="C835" s="17"/>
      <c r="D835" s="17"/>
      <c r="E835" s="17"/>
      <c r="F835" s="17"/>
      <c r="G835" s="17"/>
      <c r="H835" s="17"/>
      <c r="I835" s="39">
        <f>I834-I828</f>
        <v>0</v>
      </c>
    </row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</sheetData>
  <sheetProtection/>
  <mergeCells count="8">
    <mergeCell ref="G832:H832"/>
    <mergeCell ref="C832:E832"/>
    <mergeCell ref="G1:I1"/>
    <mergeCell ref="G3:I3"/>
    <mergeCell ref="G2:I2"/>
    <mergeCell ref="G831:H831"/>
    <mergeCell ref="A5:I5"/>
    <mergeCell ref="H4:I4"/>
  </mergeCells>
  <printOptions horizontalCentered="1"/>
  <pageMargins left="0.3937007874015748" right="0.3937007874015748" top="0.6299212598425197" bottom="1.1811023622047245" header="0" footer="0"/>
  <pageSetup horizontalDpi="600" verticalDpi="600" orientation="landscape" paperSize="9" scale="57" r:id="rId1"/>
  <headerFooter alignWithMargins="0">
    <oddHeader>&amp;C&amp;P</oddHeader>
  </headerFooter>
  <rowBreaks count="2" manualBreakCount="2">
    <brk id="601" max="8" man="1"/>
    <brk id="6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2018-06-21T13:21:20Z</cp:lastPrinted>
  <dcterms:created xsi:type="dcterms:W3CDTF">2014-01-17T10:52:16Z</dcterms:created>
  <dcterms:modified xsi:type="dcterms:W3CDTF">2018-06-26T12:12:06Z</dcterms:modified>
  <cp:category/>
  <cp:version/>
  <cp:contentType/>
  <cp:contentStatus/>
</cp:coreProperties>
</file>