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Дод 4 " sheetId="8" r:id="rId1"/>
  </sheets>
  <definedNames>
    <definedName name="_xlnm.Print_Titles" localSheetId="0">'Дод 4 '!$A:$C,'Дод 4 '!$4:$12</definedName>
    <definedName name="_xlnm.Print_Area" localSheetId="0">'Дод 4 '!$A$1:$BM$117</definedName>
  </definedNames>
  <calcPr calcId="145621"/>
</workbook>
</file>

<file path=xl/calcChain.xml><?xml version="1.0" encoding="utf-8"?>
<calcChain xmlns="http://schemas.openxmlformats.org/spreadsheetml/2006/main">
  <c r="AL114" i="8" l="1"/>
  <c r="BM113" i="8" l="1"/>
  <c r="BM112" i="8"/>
  <c r="BM111" i="8"/>
  <c r="BM110" i="8"/>
  <c r="BM108" i="8"/>
  <c r="BM107" i="8"/>
  <c r="BM106" i="8"/>
  <c r="BM104" i="8"/>
  <c r="BM103" i="8"/>
  <c r="BM99" i="8"/>
  <c r="BM97" i="8"/>
  <c r="BM96" i="8"/>
  <c r="BM86" i="8"/>
  <c r="BM82" i="8"/>
  <c r="BM81" i="8"/>
  <c r="BM71" i="8"/>
  <c r="BM70" i="8"/>
  <c r="BM56" i="8"/>
  <c r="BM55" i="8"/>
  <c r="BM50" i="8"/>
  <c r="BM48" i="8"/>
  <c r="BM46" i="8"/>
  <c r="BM45" i="8"/>
  <c r="BM42" i="8"/>
  <c r="BM41" i="8"/>
  <c r="BM38" i="8"/>
  <c r="BM37" i="8"/>
  <c r="BM36" i="8"/>
  <c r="BM35" i="8"/>
  <c r="BM30" i="8"/>
  <c r="BM28" i="8"/>
  <c r="BM27" i="8"/>
  <c r="BM21" i="8"/>
  <c r="BM20" i="8"/>
  <c r="BM19" i="8"/>
  <c r="BM17" i="8"/>
  <c r="BM14" i="8"/>
  <c r="BJ109" i="8"/>
  <c r="BJ49" i="8"/>
  <c r="BJ26" i="8"/>
  <c r="BJ114" i="8" l="1"/>
  <c r="AI114" i="8"/>
  <c r="AM114" i="8" l="1"/>
  <c r="AK114" i="8"/>
  <c r="AJ26" i="8"/>
  <c r="AN114" i="8" l="1"/>
  <c r="AJ114" i="8"/>
  <c r="AS109" i="8"/>
  <c r="AS49" i="8"/>
  <c r="AS26" i="8"/>
  <c r="J26" i="8"/>
  <c r="J114" i="8" s="1"/>
  <c r="AH26" i="8"/>
  <c r="AH114" i="8" s="1"/>
  <c r="AP114" i="8"/>
  <c r="AU15" i="8"/>
  <c r="BC26" i="8"/>
  <c r="BB49" i="8"/>
  <c r="BC49" i="8"/>
  <c r="BC109" i="8"/>
  <c r="AF36" i="8"/>
  <c r="Y40" i="8"/>
  <c r="V26" i="8"/>
  <c r="W26" i="8"/>
  <c r="X26" i="8"/>
  <c r="Y26" i="8"/>
  <c r="Z26" i="8"/>
  <c r="AA26" i="8"/>
  <c r="AB26" i="8"/>
  <c r="AC26" i="8"/>
  <c r="AD26" i="8"/>
  <c r="V49" i="8"/>
  <c r="W49" i="8"/>
  <c r="X49" i="8"/>
  <c r="Z49" i="8"/>
  <c r="AA49" i="8"/>
  <c r="AB49" i="8"/>
  <c r="AC49" i="8"/>
  <c r="AD49" i="8"/>
  <c r="V109" i="8"/>
  <c r="W109" i="8"/>
  <c r="X109" i="8"/>
  <c r="Y109" i="8"/>
  <c r="Z109" i="8"/>
  <c r="AA109" i="8"/>
  <c r="AB109" i="8"/>
  <c r="AC109" i="8"/>
  <c r="AD109" i="8"/>
  <c r="U14" i="8"/>
  <c r="U15" i="8"/>
  <c r="U16" i="8"/>
  <c r="U17" i="8"/>
  <c r="U18" i="8"/>
  <c r="U19" i="8"/>
  <c r="U20" i="8"/>
  <c r="U21" i="8"/>
  <c r="U22" i="8"/>
  <c r="U23" i="8"/>
  <c r="U24" i="8"/>
  <c r="U25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1" i="8"/>
  <c r="U42" i="8"/>
  <c r="U43" i="8"/>
  <c r="U44" i="8"/>
  <c r="U45" i="8"/>
  <c r="U46" i="8"/>
  <c r="U47" i="8"/>
  <c r="U48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U92" i="8"/>
  <c r="U93" i="8"/>
  <c r="U94" i="8"/>
  <c r="U95" i="8"/>
  <c r="U96" i="8"/>
  <c r="U97" i="8"/>
  <c r="U98" i="8"/>
  <c r="U99" i="8"/>
  <c r="U100" i="8"/>
  <c r="U101" i="8"/>
  <c r="U102" i="8"/>
  <c r="U103" i="8"/>
  <c r="AX103" i="8" s="1"/>
  <c r="U104" i="8"/>
  <c r="U105" i="8"/>
  <c r="U106" i="8"/>
  <c r="U107" i="8"/>
  <c r="U108" i="8"/>
  <c r="U110" i="8"/>
  <c r="AX110" i="8" s="1"/>
  <c r="U111" i="8"/>
  <c r="AX111" i="8" s="1"/>
  <c r="U112" i="8"/>
  <c r="U113" i="8"/>
  <c r="U13" i="8"/>
  <c r="P101" i="8"/>
  <c r="P77" i="8"/>
  <c r="P67" i="8"/>
  <c r="P32" i="8"/>
  <c r="O26" i="8"/>
  <c r="O114" i="8" s="1"/>
  <c r="BE26" i="8"/>
  <c r="BE114" i="8" s="1"/>
  <c r="BF26" i="8"/>
  <c r="BF114" i="8" s="1"/>
  <c r="AX77" i="8" l="1"/>
  <c r="AS114" i="8"/>
  <c r="Y49" i="8"/>
  <c r="Y114" i="8" s="1"/>
  <c r="BC114" i="8"/>
  <c r="AA114" i="8"/>
  <c r="U40" i="8"/>
  <c r="U49" i="8" s="1"/>
  <c r="U109" i="8"/>
  <c r="W114" i="8"/>
  <c r="U26" i="8"/>
  <c r="AD114" i="8"/>
  <c r="Z114" i="8"/>
  <c r="V114" i="8"/>
  <c r="AC114" i="8"/>
  <c r="AB114" i="8"/>
  <c r="X114" i="8"/>
  <c r="E69" i="8"/>
  <c r="U114" i="8" l="1"/>
  <c r="E108" i="8"/>
  <c r="E112" i="8"/>
  <c r="E107" i="8"/>
  <c r="E105" i="8"/>
  <c r="E104" i="8"/>
  <c r="E102" i="8"/>
  <c r="E101" i="8"/>
  <c r="E100" i="8"/>
  <c r="E98" i="8"/>
  <c r="E97" i="8"/>
  <c r="E96" i="8"/>
  <c r="E95" i="8"/>
  <c r="E92" i="8"/>
  <c r="E90" i="8"/>
  <c r="E89" i="8"/>
  <c r="E87" i="8"/>
  <c r="E86" i="8"/>
  <c r="E85" i="8"/>
  <c r="E84" i="8"/>
  <c r="E83" i="8"/>
  <c r="E82" i="8"/>
  <c r="E80" i="8"/>
  <c r="E78" i="8"/>
  <c r="E76" i="8"/>
  <c r="E75" i="8"/>
  <c r="E74" i="8"/>
  <c r="E73" i="8"/>
  <c r="E72" i="8"/>
  <c r="E71" i="8"/>
  <c r="E70" i="8"/>
  <c r="E68" i="8"/>
  <c r="E67" i="8"/>
  <c r="E66" i="8"/>
  <c r="E65" i="8"/>
  <c r="E63" i="8"/>
  <c r="E62" i="8"/>
  <c r="E61" i="8"/>
  <c r="E59" i="8"/>
  <c r="E58" i="8"/>
  <c r="E57" i="8"/>
  <c r="E56" i="8"/>
  <c r="E55" i="8"/>
  <c r="E54" i="8"/>
  <c r="E53" i="8"/>
  <c r="E50" i="8"/>
  <c r="E48" i="8"/>
  <c r="E47" i="8"/>
  <c r="E46" i="8"/>
  <c r="E45" i="8"/>
  <c r="E44" i="8"/>
  <c r="E43" i="8"/>
  <c r="E42" i="8"/>
  <c r="E41" i="8"/>
  <c r="E40" i="8"/>
  <c r="E39" i="8"/>
  <c r="E38" i="8"/>
  <c r="E35" i="8"/>
  <c r="E34" i="8"/>
  <c r="E33" i="8"/>
  <c r="E32" i="8"/>
  <c r="E30" i="8"/>
  <c r="E29" i="8"/>
  <c r="E28" i="8"/>
  <c r="R113" i="8"/>
  <c r="AX113" i="8" s="1"/>
  <c r="AW112" i="8"/>
  <c r="AV112" i="8"/>
  <c r="R112" i="8"/>
  <c r="BK109" i="8"/>
  <c r="BH109" i="8"/>
  <c r="BG109" i="8"/>
  <c r="AZ109" i="8"/>
  <c r="AY109" i="8"/>
  <c r="AU109" i="8"/>
  <c r="AT109" i="8"/>
  <c r="AR109" i="8"/>
  <c r="AQ109" i="8"/>
  <c r="AO114" i="8"/>
  <c r="AG109" i="8"/>
  <c r="AF109" i="8"/>
  <c r="T109" i="8"/>
  <c r="S109" i="8"/>
  <c r="Q109" i="8"/>
  <c r="M109" i="8"/>
  <c r="L109" i="8" s="1"/>
  <c r="I109" i="8"/>
  <c r="H109" i="8"/>
  <c r="G109" i="8"/>
  <c r="F109" i="8"/>
  <c r="D109" i="8"/>
  <c r="AE108" i="8"/>
  <c r="R108" i="8"/>
  <c r="AE107" i="8"/>
  <c r="R107" i="8"/>
  <c r="AE106" i="8"/>
  <c r="R106" i="8"/>
  <c r="AX106" i="8" s="1"/>
  <c r="BI105" i="8"/>
  <c r="BM105" i="8" s="1"/>
  <c r="AE105" i="8"/>
  <c r="R105" i="8"/>
  <c r="AE104" i="8"/>
  <c r="R104" i="8"/>
  <c r="BD102" i="8"/>
  <c r="BM102" i="8" s="1"/>
  <c r="AE102" i="8"/>
  <c r="R102" i="8"/>
  <c r="BD101" i="8"/>
  <c r="BM101" i="8" s="1"/>
  <c r="AW101" i="8"/>
  <c r="AE101" i="8"/>
  <c r="R101" i="8"/>
  <c r="BD100" i="8"/>
  <c r="BM100" i="8" s="1"/>
  <c r="AE100" i="8"/>
  <c r="R100" i="8"/>
  <c r="AE99" i="8"/>
  <c r="R99" i="8"/>
  <c r="AX99" i="8" s="1"/>
  <c r="BD98" i="8"/>
  <c r="BM98" i="8" s="1"/>
  <c r="AE98" i="8"/>
  <c r="R98" i="8"/>
  <c r="AE97" i="8"/>
  <c r="R97" i="8"/>
  <c r="AE96" i="8"/>
  <c r="R96" i="8"/>
  <c r="N96" i="8"/>
  <c r="BA95" i="8"/>
  <c r="BM95" i="8" s="1"/>
  <c r="AE95" i="8"/>
  <c r="R95" i="8"/>
  <c r="BD94" i="8"/>
  <c r="BM94" i="8" s="1"/>
  <c r="AE94" i="8"/>
  <c r="R94" i="8"/>
  <c r="BD93" i="8"/>
  <c r="BM93" i="8" s="1"/>
  <c r="AE93" i="8"/>
  <c r="R93" i="8"/>
  <c r="N93" i="8"/>
  <c r="BI92" i="8"/>
  <c r="BD92" i="8"/>
  <c r="BM92" i="8" s="1"/>
  <c r="AW92" i="8"/>
  <c r="AE92" i="8"/>
  <c r="R92" i="8"/>
  <c r="N92" i="8"/>
  <c r="BD91" i="8"/>
  <c r="BM91" i="8" s="1"/>
  <c r="AV91" i="8"/>
  <c r="AE91" i="8"/>
  <c r="R91" i="8"/>
  <c r="AX91" i="8" s="1"/>
  <c r="BI90" i="8"/>
  <c r="BD90" i="8"/>
  <c r="AE90" i="8"/>
  <c r="R90" i="8"/>
  <c r="BI89" i="8"/>
  <c r="BM89" i="8" s="1"/>
  <c r="AW89" i="8"/>
  <c r="AE89" i="8"/>
  <c r="R89" i="8"/>
  <c r="BD88" i="8"/>
  <c r="BM88" i="8" s="1"/>
  <c r="AE88" i="8"/>
  <c r="R88" i="8"/>
  <c r="AX88" i="8" s="1"/>
  <c r="BI87" i="8"/>
  <c r="BD87" i="8"/>
  <c r="AE87" i="8"/>
  <c r="R87" i="8"/>
  <c r="AE86" i="8"/>
  <c r="R86" i="8"/>
  <c r="BD85" i="8"/>
  <c r="BM85" i="8" s="1"/>
  <c r="AE85" i="8"/>
  <c r="R85" i="8"/>
  <c r="BD84" i="8"/>
  <c r="BM84" i="8" s="1"/>
  <c r="AE84" i="8"/>
  <c r="R84" i="8"/>
  <c r="BD83" i="8"/>
  <c r="BM83" i="8" s="1"/>
  <c r="AW83" i="8"/>
  <c r="AE83" i="8"/>
  <c r="R83" i="8"/>
  <c r="AE82" i="8"/>
  <c r="R82" i="8"/>
  <c r="AE81" i="8"/>
  <c r="R81" i="8"/>
  <c r="AX81" i="8" s="1"/>
  <c r="BD80" i="8"/>
  <c r="BM80" i="8" s="1"/>
  <c r="AE80" i="8"/>
  <c r="R80" i="8"/>
  <c r="BD79" i="8"/>
  <c r="BM79" i="8" s="1"/>
  <c r="AE79" i="8"/>
  <c r="R79" i="8"/>
  <c r="BD78" i="8"/>
  <c r="BM78" i="8" s="1"/>
  <c r="AE78" i="8"/>
  <c r="R78" i="8"/>
  <c r="BD77" i="8"/>
  <c r="BM77" i="8" s="1"/>
  <c r="BD76" i="8"/>
  <c r="BM76" i="8" s="1"/>
  <c r="AE76" i="8"/>
  <c r="R76" i="8"/>
  <c r="BD75" i="8"/>
  <c r="BM75" i="8" s="1"/>
  <c r="AE75" i="8"/>
  <c r="R75" i="8"/>
  <c r="BD74" i="8"/>
  <c r="BM74" i="8" s="1"/>
  <c r="AE74" i="8"/>
  <c r="R74" i="8"/>
  <c r="N74" i="8"/>
  <c r="BD73" i="8"/>
  <c r="BA73" i="8"/>
  <c r="AE73" i="8"/>
  <c r="R73" i="8"/>
  <c r="BD72" i="8"/>
  <c r="BM72" i="8" s="1"/>
  <c r="AE72" i="8"/>
  <c r="R72" i="8"/>
  <c r="AE71" i="8"/>
  <c r="R71" i="8"/>
  <c r="AE70" i="8"/>
  <c r="R70" i="8"/>
  <c r="N70" i="8"/>
  <c r="BD69" i="8"/>
  <c r="BM69" i="8" s="1"/>
  <c r="AE69" i="8"/>
  <c r="AX69" i="8" s="1"/>
  <c r="R69" i="8"/>
  <c r="BD68" i="8"/>
  <c r="BM68" i="8" s="1"/>
  <c r="AE68" i="8"/>
  <c r="R68" i="8"/>
  <c r="N68" i="8"/>
  <c r="BI67" i="8"/>
  <c r="BD67" i="8"/>
  <c r="BM67" i="8" s="1"/>
  <c r="AE67" i="8"/>
  <c r="R67" i="8"/>
  <c r="N67" i="8"/>
  <c r="BD66" i="8"/>
  <c r="BM66" i="8" s="1"/>
  <c r="AE66" i="8"/>
  <c r="R66" i="8"/>
  <c r="P66" i="8"/>
  <c r="P109" i="8" s="1"/>
  <c r="BD65" i="8"/>
  <c r="BM65" i="8" s="1"/>
  <c r="AE65" i="8"/>
  <c r="R65" i="8"/>
  <c r="L65" i="8"/>
  <c r="BB64" i="8"/>
  <c r="BM64" i="8" s="1"/>
  <c r="AE64" i="8"/>
  <c r="R64" i="8"/>
  <c r="BD63" i="8"/>
  <c r="BM63" i="8" s="1"/>
  <c r="AE63" i="8"/>
  <c r="R63" i="8"/>
  <c r="N63" i="8"/>
  <c r="BD62" i="8"/>
  <c r="BM62" i="8" s="1"/>
  <c r="AE62" i="8"/>
  <c r="R62" i="8"/>
  <c r="N62" i="8"/>
  <c r="BD61" i="8"/>
  <c r="BM61" i="8" s="1"/>
  <c r="AE61" i="8"/>
  <c r="R61" i="8"/>
  <c r="BD60" i="8"/>
  <c r="BB60" i="8"/>
  <c r="AV60" i="8"/>
  <c r="AV109" i="8" s="1"/>
  <c r="AE60" i="8"/>
  <c r="R60" i="8"/>
  <c r="N60" i="8"/>
  <c r="BD59" i="8"/>
  <c r="BM59" i="8" s="1"/>
  <c r="AE59" i="8"/>
  <c r="R59" i="8"/>
  <c r="BL58" i="8"/>
  <c r="AE58" i="8"/>
  <c r="R58" i="8"/>
  <c r="BD57" i="8"/>
  <c r="BM57" i="8" s="1"/>
  <c r="AE57" i="8"/>
  <c r="R57" i="8"/>
  <c r="AE56" i="8"/>
  <c r="R56" i="8"/>
  <c r="N56" i="8"/>
  <c r="AE55" i="8"/>
  <c r="R55" i="8"/>
  <c r="N55" i="8"/>
  <c r="BD54" i="8"/>
  <c r="BM54" i="8" s="1"/>
  <c r="AE54" i="8"/>
  <c r="R54" i="8"/>
  <c r="BD53" i="8"/>
  <c r="BM53" i="8" s="1"/>
  <c r="AE53" i="8"/>
  <c r="R53" i="8"/>
  <c r="BD52" i="8"/>
  <c r="BM52" i="8" s="1"/>
  <c r="AW52" i="8"/>
  <c r="AE52" i="8"/>
  <c r="R52" i="8"/>
  <c r="N52" i="8"/>
  <c r="BD51" i="8"/>
  <c r="BM51" i="8" s="1"/>
  <c r="AE51" i="8"/>
  <c r="R51" i="8"/>
  <c r="N51" i="8"/>
  <c r="AE50" i="8"/>
  <c r="R50" i="8"/>
  <c r="N50" i="8"/>
  <c r="BL49" i="8"/>
  <c r="BK49" i="8"/>
  <c r="BI49" i="8"/>
  <c r="BH49" i="8"/>
  <c r="BG49" i="8"/>
  <c r="BA49" i="8"/>
  <c r="AZ49" i="8"/>
  <c r="AY49" i="8"/>
  <c r="AV49" i="8"/>
  <c r="AU49" i="8"/>
  <c r="AT49" i="8"/>
  <c r="AR49" i="8"/>
  <c r="AQ49" i="8"/>
  <c r="AG49" i="8"/>
  <c r="AF49" i="8"/>
  <c r="T49" i="8"/>
  <c r="S49" i="8"/>
  <c r="Q49" i="8"/>
  <c r="M49" i="8"/>
  <c r="L49" i="8" s="1"/>
  <c r="K49" i="8"/>
  <c r="I49" i="8"/>
  <c r="H49" i="8"/>
  <c r="G49" i="8"/>
  <c r="F49" i="8"/>
  <c r="D49" i="8"/>
  <c r="AE48" i="8"/>
  <c r="R48" i="8"/>
  <c r="BD47" i="8"/>
  <c r="BM47" i="8" s="1"/>
  <c r="AE47" i="8"/>
  <c r="R47" i="8"/>
  <c r="AE46" i="8"/>
  <c r="R46" i="8"/>
  <c r="AE45" i="8"/>
  <c r="R45" i="8"/>
  <c r="BD44" i="8"/>
  <c r="BM44" i="8" s="1"/>
  <c r="AE44" i="8"/>
  <c r="R44" i="8"/>
  <c r="N44" i="8"/>
  <c r="BD43" i="8"/>
  <c r="BM43" i="8" s="1"/>
  <c r="AW43" i="8"/>
  <c r="AW49" i="8" s="1"/>
  <c r="AE43" i="8"/>
  <c r="R43" i="8"/>
  <c r="N43" i="8"/>
  <c r="AE42" i="8"/>
  <c r="R42" i="8"/>
  <c r="N42" i="8"/>
  <c r="AE41" i="8"/>
  <c r="R41" i="8"/>
  <c r="BD40" i="8"/>
  <c r="BM40" i="8" s="1"/>
  <c r="AE40" i="8"/>
  <c r="R40" i="8"/>
  <c r="BD39" i="8"/>
  <c r="BM39" i="8" s="1"/>
  <c r="AE39" i="8"/>
  <c r="R39" i="8"/>
  <c r="N39" i="8"/>
  <c r="AE38" i="8"/>
  <c r="R38" i="8"/>
  <c r="N38" i="8"/>
  <c r="AE37" i="8"/>
  <c r="R37" i="8"/>
  <c r="N37" i="8"/>
  <c r="AE36" i="8"/>
  <c r="R36" i="8"/>
  <c r="AX36" i="8" s="1"/>
  <c r="AE35" i="8"/>
  <c r="R35" i="8"/>
  <c r="BD34" i="8"/>
  <c r="BM34" i="8" s="1"/>
  <c r="AE34" i="8"/>
  <c r="R34" i="8"/>
  <c r="BD33" i="8"/>
  <c r="BM33" i="8" s="1"/>
  <c r="AE33" i="8"/>
  <c r="R33" i="8"/>
  <c r="BD32" i="8"/>
  <c r="BM32" i="8" s="1"/>
  <c r="AE32" i="8"/>
  <c r="R32" i="8"/>
  <c r="P49" i="8"/>
  <c r="N32" i="8"/>
  <c r="BD31" i="8"/>
  <c r="BM31" i="8" s="1"/>
  <c r="AE31" i="8"/>
  <c r="R31" i="8"/>
  <c r="AX31" i="8" s="1"/>
  <c r="AE30" i="8"/>
  <c r="R30" i="8"/>
  <c r="N30" i="8"/>
  <c r="BD29" i="8"/>
  <c r="AE29" i="8"/>
  <c r="R29" i="8"/>
  <c r="AE28" i="8"/>
  <c r="R28" i="8"/>
  <c r="N28" i="8"/>
  <c r="AE27" i="8"/>
  <c r="R27" i="8"/>
  <c r="BI26" i="8"/>
  <c r="BH26" i="8"/>
  <c r="BB26" i="8"/>
  <c r="BA26" i="8"/>
  <c r="AZ26" i="8"/>
  <c r="AY26" i="8"/>
  <c r="AW26" i="8"/>
  <c r="AV26" i="8"/>
  <c r="AU26" i="8"/>
  <c r="AT26" i="8"/>
  <c r="AR26" i="8"/>
  <c r="AQ26" i="8"/>
  <c r="AG26" i="8"/>
  <c r="AF26" i="8"/>
  <c r="T26" i="8"/>
  <c r="S26" i="8"/>
  <c r="Q26" i="8"/>
  <c r="P26" i="8"/>
  <c r="M26" i="8"/>
  <c r="L26" i="8" s="1"/>
  <c r="K26" i="8"/>
  <c r="I26" i="8"/>
  <c r="H26" i="8"/>
  <c r="G26" i="8"/>
  <c r="F26" i="8"/>
  <c r="E26" i="8"/>
  <c r="D26" i="8"/>
  <c r="BK25" i="8"/>
  <c r="BM25" i="8" s="1"/>
  <c r="AE25" i="8"/>
  <c r="R25" i="8"/>
  <c r="AX25" i="8" s="1"/>
  <c r="BL24" i="8"/>
  <c r="AE24" i="8"/>
  <c r="R24" i="8"/>
  <c r="N24" i="8"/>
  <c r="AX24" i="8" s="1"/>
  <c r="BD23" i="8"/>
  <c r="BM23" i="8" s="1"/>
  <c r="AE23" i="8"/>
  <c r="R23" i="8"/>
  <c r="BD22" i="8"/>
  <c r="BM22" i="8" s="1"/>
  <c r="AE22" i="8"/>
  <c r="R22" i="8"/>
  <c r="AE21" i="8"/>
  <c r="R21" i="8"/>
  <c r="AX21" i="8" s="1"/>
  <c r="AE20" i="8"/>
  <c r="R20" i="8"/>
  <c r="AT19" i="8"/>
  <c r="AE19" i="8"/>
  <c r="R19" i="8"/>
  <c r="AX19" i="8" s="1"/>
  <c r="BG18" i="8"/>
  <c r="BM18" i="8" s="1"/>
  <c r="AE18" i="8"/>
  <c r="R18" i="8"/>
  <c r="AX18" i="8" s="1"/>
  <c r="AE17" i="8"/>
  <c r="R17" i="8"/>
  <c r="BD16" i="8"/>
  <c r="BM16" i="8" s="1"/>
  <c r="AE16" i="8"/>
  <c r="R16" i="8"/>
  <c r="AX16" i="8" s="1"/>
  <c r="BD15" i="8"/>
  <c r="AE15" i="8"/>
  <c r="R15" i="8"/>
  <c r="AX15" i="8" s="1"/>
  <c r="AE14" i="8"/>
  <c r="R14" i="8"/>
  <c r="BD13" i="8"/>
  <c r="BM13" i="8" s="1"/>
  <c r="AE13" i="8"/>
  <c r="R13" i="8"/>
  <c r="AX13" i="8" s="1"/>
  <c r="AX23" i="8" l="1"/>
  <c r="AX27" i="8"/>
  <c r="AX51" i="8"/>
  <c r="AX52" i="8"/>
  <c r="AX79" i="8"/>
  <c r="BM87" i="8"/>
  <c r="AX53" i="8"/>
  <c r="AX57" i="8"/>
  <c r="AX76" i="8"/>
  <c r="AX87" i="8"/>
  <c r="AX95" i="8"/>
  <c r="AX60" i="8"/>
  <c r="AX29" i="8"/>
  <c r="AX34" i="8"/>
  <c r="AX40" i="8"/>
  <c r="AX44" i="8"/>
  <c r="AX48" i="8"/>
  <c r="AX55" i="8"/>
  <c r="AX59" i="8"/>
  <c r="AX65" i="8"/>
  <c r="AX70" i="8"/>
  <c r="AX74" i="8"/>
  <c r="AX80" i="8"/>
  <c r="AX85" i="8"/>
  <c r="AX90" i="8"/>
  <c r="AX97" i="8"/>
  <c r="AX102" i="8"/>
  <c r="AX112" i="8"/>
  <c r="AX14" i="8"/>
  <c r="AX17" i="8"/>
  <c r="AX20" i="8"/>
  <c r="AX22" i="8"/>
  <c r="AX37" i="8"/>
  <c r="AX64" i="8"/>
  <c r="AX93" i="8"/>
  <c r="AX94" i="8"/>
  <c r="AX30" i="8"/>
  <c r="AX35" i="8"/>
  <c r="AX41" i="8"/>
  <c r="AX45" i="8"/>
  <c r="AX50" i="8"/>
  <c r="AX56" i="8"/>
  <c r="AX61" i="8"/>
  <c r="AX66" i="8"/>
  <c r="AX71" i="8"/>
  <c r="AX75" i="8"/>
  <c r="AX82" i="8"/>
  <c r="AX86" i="8"/>
  <c r="AX92" i="8"/>
  <c r="AX98" i="8"/>
  <c r="AX104" i="8"/>
  <c r="AX108" i="8"/>
  <c r="D114" i="8"/>
  <c r="AX32" i="8"/>
  <c r="AX38" i="8"/>
  <c r="AX42" i="8"/>
  <c r="AX46" i="8"/>
  <c r="AX62" i="8"/>
  <c r="AX67" i="8"/>
  <c r="AX72" i="8"/>
  <c r="AX83" i="8"/>
  <c r="AX100" i="8"/>
  <c r="AX105" i="8"/>
  <c r="AX28" i="8"/>
  <c r="AX33" i="8"/>
  <c r="AX39" i="8"/>
  <c r="AX43" i="8"/>
  <c r="AX47" i="8"/>
  <c r="AX54" i="8"/>
  <c r="AX58" i="8"/>
  <c r="AX63" i="8"/>
  <c r="AX68" i="8"/>
  <c r="AX73" i="8"/>
  <c r="AX78" i="8"/>
  <c r="AX84" i="8"/>
  <c r="AX89" i="8"/>
  <c r="AX96" i="8"/>
  <c r="AX101" i="8"/>
  <c r="AX107" i="8"/>
  <c r="BD49" i="8"/>
  <c r="BM49" i="8" s="1"/>
  <c r="BM29" i="8"/>
  <c r="R109" i="8"/>
  <c r="BL109" i="8"/>
  <c r="BM58" i="8"/>
  <c r="BB109" i="8"/>
  <c r="BB114" i="8" s="1"/>
  <c r="BM60" i="8"/>
  <c r="BI109" i="8"/>
  <c r="BI114" i="8" s="1"/>
  <c r="AZ114" i="8"/>
  <c r="AW109" i="8"/>
  <c r="AW114" i="8" s="1"/>
  <c r="BM90" i="8"/>
  <c r="BD26" i="8"/>
  <c r="BM15" i="8"/>
  <c r="BA109" i="8"/>
  <c r="BA114" i="8" s="1"/>
  <c r="BM73" i="8"/>
  <c r="BH114" i="8"/>
  <c r="N109" i="8"/>
  <c r="R26" i="8"/>
  <c r="BL26" i="8"/>
  <c r="BM24" i="8"/>
  <c r="AE26" i="8"/>
  <c r="BG26" i="8"/>
  <c r="BG114" i="8" s="1"/>
  <c r="K114" i="8"/>
  <c r="AE109" i="8"/>
  <c r="AG114" i="8"/>
  <c r="H114" i="8"/>
  <c r="S114" i="8"/>
  <c r="P114" i="8"/>
  <c r="AF114" i="8"/>
  <c r="AV114" i="8"/>
  <c r="I114" i="8"/>
  <c r="Q114" i="8"/>
  <c r="AT114" i="8"/>
  <c r="F114" i="8"/>
  <c r="L114" i="8"/>
  <c r="AU114" i="8"/>
  <c r="G114" i="8"/>
  <c r="M114" i="8"/>
  <c r="T114" i="8"/>
  <c r="AQ114" i="8"/>
  <c r="AR114" i="8"/>
  <c r="E109" i="8"/>
  <c r="E49" i="8"/>
  <c r="AX49" i="8" s="1"/>
  <c r="BD109" i="8"/>
  <c r="BK26" i="8"/>
  <c r="BK114" i="8" s="1"/>
  <c r="R49" i="8"/>
  <c r="N26" i="8"/>
  <c r="AE49" i="8"/>
  <c r="N49" i="8"/>
  <c r="AY114" i="8"/>
  <c r="R114" i="8" l="1"/>
  <c r="AX26" i="8"/>
  <c r="AX109" i="8"/>
  <c r="BL114" i="8"/>
  <c r="BM109" i="8"/>
  <c r="BM26" i="8"/>
  <c r="AE114" i="8"/>
  <c r="BD114" i="8"/>
  <c r="N114" i="8"/>
  <c r="E114" i="8"/>
  <c r="AX114" i="8" l="1"/>
  <c r="BM114" i="8"/>
</calcChain>
</file>

<file path=xl/sharedStrings.xml><?xml version="1.0" encoding="utf-8"?>
<sst xmlns="http://schemas.openxmlformats.org/spreadsheetml/2006/main" count="354" uniqueCount="311">
  <si>
    <t>грн</t>
  </si>
  <si>
    <t>Обсяги міжбюджетних трансфертів, що передаються з обласного бюджету до державного бюджету</t>
  </si>
  <si>
    <t>субвенції на здійснення програм соціального захисту:</t>
  </si>
  <si>
    <t>інші субвенції</t>
  </si>
  <si>
    <t>04100000000</t>
  </si>
  <si>
    <t>Обласний бюджет</t>
  </si>
  <si>
    <t>Державний бюджет</t>
  </si>
  <si>
    <t>04202100000</t>
  </si>
  <si>
    <t>04201100000</t>
  </si>
  <si>
    <t>04203100000</t>
  </si>
  <si>
    <t>04204100000</t>
  </si>
  <si>
    <t>04205100000</t>
  </si>
  <si>
    <t>04206100000</t>
  </si>
  <si>
    <t>04207100000</t>
  </si>
  <si>
    <t>04208100000</t>
  </si>
  <si>
    <t>04209100000</t>
  </si>
  <si>
    <t>04210100000</t>
  </si>
  <si>
    <t>04211100000</t>
  </si>
  <si>
    <t>04212100000</t>
  </si>
  <si>
    <t>04213100000</t>
  </si>
  <si>
    <t>04301200000</t>
  </si>
  <si>
    <t>04302200000</t>
  </si>
  <si>
    <t>04303200000</t>
  </si>
  <si>
    <t>04304200000</t>
  </si>
  <si>
    <t>04305200000</t>
  </si>
  <si>
    <t>04306200000</t>
  </si>
  <si>
    <t>04307200000</t>
  </si>
  <si>
    <t>04308200000</t>
  </si>
  <si>
    <t>04309200000</t>
  </si>
  <si>
    <t>04310200000</t>
  </si>
  <si>
    <t>04311200000</t>
  </si>
  <si>
    <t>04312200000</t>
  </si>
  <si>
    <t>04313200000</t>
  </si>
  <si>
    <t>04314200000</t>
  </si>
  <si>
    <t>04315200000</t>
  </si>
  <si>
    <t>04316200000</t>
  </si>
  <si>
    <t>04317200000</t>
  </si>
  <si>
    <t>04318200000</t>
  </si>
  <si>
    <t>04319200000</t>
  </si>
  <si>
    <t>04320200000</t>
  </si>
  <si>
    <t>04321200000</t>
  </si>
  <si>
    <t>04322200000</t>
  </si>
  <si>
    <t>Обсяги міжбюджетних трансфертів, що передаються з обласного бюджету до місцевих бюджетів</t>
  </si>
  <si>
    <t xml:space="preserve">Обсяги міжбюджетних трансфертів, що передаються з обласного бюджету до місцевих бюджетів за рахунок коштів  державного бюджету </t>
  </si>
  <si>
    <t>субвенції</t>
  </si>
  <si>
    <t>КПКВК 3719110</t>
  </si>
  <si>
    <t>КПКВК 3719230</t>
  </si>
  <si>
    <t>КПКВК 3719210</t>
  </si>
  <si>
    <t>КПКВК 3719220</t>
  </si>
  <si>
    <t>КПКВК 3719250</t>
  </si>
  <si>
    <t>КПКВК 2819800</t>
  </si>
  <si>
    <t>КПКВК 0119770</t>
  </si>
  <si>
    <t>КПКВК 3719130</t>
  </si>
  <si>
    <t>04501000000</t>
  </si>
  <si>
    <t>04502000000</t>
  </si>
  <si>
    <t>04503000000</t>
  </si>
  <si>
    <t>04504000000</t>
  </si>
  <si>
    <t>04506000000</t>
  </si>
  <si>
    <t>04507000000</t>
  </si>
  <si>
    <t>04508000000</t>
  </si>
  <si>
    <t>04510000000</t>
  </si>
  <si>
    <t>04511000000</t>
  </si>
  <si>
    <t>04512000000</t>
  </si>
  <si>
    <t>04513000000</t>
  </si>
  <si>
    <t>04514000000</t>
  </si>
  <si>
    <t>04515000000</t>
  </si>
  <si>
    <t>04517000000</t>
  </si>
  <si>
    <t>04518000000</t>
  </si>
  <si>
    <t>04519000000</t>
  </si>
  <si>
    <t>04521000000</t>
  </si>
  <si>
    <t>04524000000</t>
  </si>
  <si>
    <t>04527000000</t>
  </si>
  <si>
    <t>04529000000</t>
  </si>
  <si>
    <t>04530000000</t>
  </si>
  <si>
    <t>04531000000</t>
  </si>
  <si>
    <t>04532000000</t>
  </si>
  <si>
    <t>04533000000</t>
  </si>
  <si>
    <t>04534000000</t>
  </si>
  <si>
    <t>04509000000</t>
  </si>
  <si>
    <t>Усього</t>
  </si>
  <si>
    <t>КПКВК 0719460</t>
  </si>
  <si>
    <t>КПКВК 0919270</t>
  </si>
  <si>
    <t>04545000000</t>
  </si>
  <si>
    <t>04550000000</t>
  </si>
  <si>
    <t>04549000000</t>
  </si>
  <si>
    <t>04538000000</t>
  </si>
  <si>
    <t>04537000000</t>
  </si>
  <si>
    <t>04541000000</t>
  </si>
  <si>
    <t>04535000000</t>
  </si>
  <si>
    <t>04544000000</t>
  </si>
  <si>
    <t>04539000000</t>
  </si>
  <si>
    <t>04543000000</t>
  </si>
  <si>
    <t>04546000000</t>
  </si>
  <si>
    <t>04548000000</t>
  </si>
  <si>
    <t>04542000000</t>
  </si>
  <si>
    <t>04540000000</t>
  </si>
  <si>
    <t>04556000000</t>
  </si>
  <si>
    <t>04520000000</t>
  </si>
  <si>
    <t>04526000000</t>
  </si>
  <si>
    <t>04551000000</t>
  </si>
  <si>
    <t>04516000000</t>
  </si>
  <si>
    <t>КПКВК 0719410</t>
  </si>
  <si>
    <t>04525000000</t>
  </si>
  <si>
    <t>04552000000</t>
  </si>
  <si>
    <t>04523000000</t>
  </si>
  <si>
    <t>04522000000</t>
  </si>
  <si>
    <t>04505000000</t>
  </si>
  <si>
    <t>04547000000</t>
  </si>
  <si>
    <t>КПКВК 0619330</t>
  </si>
  <si>
    <t>045360000000</t>
  </si>
  <si>
    <t>04553000000</t>
  </si>
  <si>
    <t>04555000000</t>
  </si>
  <si>
    <t xml:space="preserve">Обсяги міжбюджетних трансфертів, що передаються з обласного бюджету до державного бюджету </t>
  </si>
  <si>
    <t>Код</t>
  </si>
  <si>
    <t>дотація на :</t>
  </si>
  <si>
    <t>спеціального фонду на:</t>
  </si>
  <si>
    <t>загального фонду на:</t>
  </si>
  <si>
    <t>усього</t>
  </si>
  <si>
    <t xml:space="preserve"> охорону і раціональне використання земель</t>
  </si>
  <si>
    <t>Показники міжбюджетних трансфертів між обласним бюджетом та іншими бюджетами на 2019 рік</t>
  </si>
  <si>
    <t>КПКВК 0619310</t>
  </si>
  <si>
    <t>з них</t>
  </si>
  <si>
    <t xml:space="preserve"> приватні школи</t>
  </si>
  <si>
    <t xml:space="preserve">                                                                                                         Додаток 4</t>
  </si>
  <si>
    <t>природоохоронні заходи</t>
  </si>
  <si>
    <t>КПКВК 1219770</t>
  </si>
  <si>
    <t>соціально-економічний розвиток</t>
  </si>
  <si>
    <t xml:space="preserve"> інклюзивно-ресурсні центри</t>
  </si>
  <si>
    <t>04557000000</t>
  </si>
  <si>
    <t>04558000000</t>
  </si>
  <si>
    <t>04559000000</t>
  </si>
  <si>
    <t xml:space="preserve"> фінансування переможців обласного конкурсу проектів і програм розвитку місцевого самоврядування </t>
  </si>
  <si>
    <t>Обсяги міжбюджетних трансфертів, що передаються з інших місцевих бюджетів до обласного бюджету</t>
  </si>
  <si>
    <t>КФКД 41053900</t>
  </si>
  <si>
    <t xml:space="preserve">  грн</t>
  </si>
  <si>
    <t>співфінансування органів місцевого самоврядування області –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самоврядування, – Швейцарсько-Український проект „Підтримка децентралізації в Україні” DESPRO</t>
  </si>
  <si>
    <t>Перший заступник голови обласної ради</t>
  </si>
  <si>
    <t>Бюджет міста Вільногірська</t>
  </si>
  <si>
    <t>Бюджет міста Дніпра</t>
  </si>
  <si>
    <t>Бюджет міста Кам’янського</t>
  </si>
  <si>
    <t>Бюджет міста Жовтих Вод</t>
  </si>
  <si>
    <t>Бюджет міста Кривого Рога</t>
  </si>
  <si>
    <t>Бюджет міста Марганця</t>
  </si>
  <si>
    <t>Бюджет міста Нікополя</t>
  </si>
  <si>
    <t>Бюджет міста Новомосковська</t>
  </si>
  <si>
    <t>Бюджет міста Покрова</t>
  </si>
  <si>
    <t>Бюджет міста Павлограда</t>
  </si>
  <si>
    <t>Бюджет міста Першотравенська</t>
  </si>
  <si>
    <t>Бюджет міста Синельникового</t>
  </si>
  <si>
    <t>Бюджет міста Тернівки</t>
  </si>
  <si>
    <t>Районний бюджет Васильківського району</t>
  </si>
  <si>
    <t>Районний бюджет Верхньодніпровського району</t>
  </si>
  <si>
    <t>Районний бюджет Дніпровського району</t>
  </si>
  <si>
    <t>Районний бюджет Криворізького району</t>
  </si>
  <si>
    <t>Районний бюджет Криничанського району</t>
  </si>
  <si>
    <t>Районний бюджет Магдалинівського району</t>
  </si>
  <si>
    <t>Районний бюджет Межівського району</t>
  </si>
  <si>
    <t>Районний бюджет Нікопольського району</t>
  </si>
  <si>
    <t>Районний бюджет Новомосковського району</t>
  </si>
  <si>
    <t>Районний бюджет Павлоградського району</t>
  </si>
  <si>
    <t>Районний бюджет Петриківського району</t>
  </si>
  <si>
    <t>Районний бюджет Петропавлівського району</t>
  </si>
  <si>
    <t>Районний бюджет Покровського району</t>
  </si>
  <si>
    <t>Районний бюджет П’ятихатського району</t>
  </si>
  <si>
    <t>Районний бюджет Синельниківського району</t>
  </si>
  <si>
    <t>Районний бюджет Солонянського району</t>
  </si>
  <si>
    <t>Районний бюджет Софіївського району</t>
  </si>
  <si>
    <t>Районний бюджет Томаківського району</t>
  </si>
  <si>
    <t>Районний бюджет Царичанського району</t>
  </si>
  <si>
    <t>Районний бюджет Широківського району</t>
  </si>
  <si>
    <t>Районний бюджет Юр’ївського району</t>
  </si>
  <si>
    <t>Районний бюджет Апостолівського району</t>
  </si>
  <si>
    <t xml:space="preserve">Бюджет Апостолівської міської об’єднаної територіальної громади </t>
  </si>
  <si>
    <t xml:space="preserve">Бюджет Богданівської сільської об’єднаної територіальної громади </t>
  </si>
  <si>
    <t xml:space="preserve">Бюджет Вербківської сільської об’єднаної територіальної громади </t>
  </si>
  <si>
    <t xml:space="preserve">Бюджет Святовасилівської сільської об’єднаної територіальної громади </t>
  </si>
  <si>
    <t xml:space="preserve">Бюджет Вакулівської сільської об’єднаної територіальної громади </t>
  </si>
  <si>
    <t xml:space="preserve">Бюджет Зеленодольської міської об’єднаної територіальної громади </t>
  </si>
  <si>
    <t xml:space="preserve">Бюджет Грушівської сільської об’єднаної територіальної громади </t>
  </si>
  <si>
    <t xml:space="preserve">Бюджет Ляшківської сільської об’єднаної територіальної громади </t>
  </si>
  <si>
    <t xml:space="preserve">Бюджет Могилівської сільської об’єднаної територіальної громади </t>
  </si>
  <si>
    <t xml:space="preserve">Бюджет Нивотрудівської сільської об’єднаної територіальної громади </t>
  </si>
  <si>
    <t xml:space="preserve">Бюджет Новоолександрівської сільської об’єднаної територіальної громади </t>
  </si>
  <si>
    <t xml:space="preserve">Бюджет Новопокровської селищної об’єднаної територіальної громади </t>
  </si>
  <si>
    <t xml:space="preserve">Бюджет Солонянської селищної об’єднаної територіальної громади </t>
  </si>
  <si>
    <t xml:space="preserve">Бюджет Сурсько-Литовської сільської об’єднаної територіальної громади </t>
  </si>
  <si>
    <t xml:space="preserve">Бюджет Слобожанської селищної об’єднаної територіальної громади </t>
  </si>
  <si>
    <t xml:space="preserve">Бюджет Мирівської сільської об’єднаної територіальної громади </t>
  </si>
  <si>
    <t xml:space="preserve">Бюджет Аулівської селищної об’єднаної територіальної громади </t>
  </si>
  <si>
    <t xml:space="preserve">Бюджет Божедарівської селищної об’єднаної територіальної громади </t>
  </si>
  <si>
    <t xml:space="preserve">Бюджет Васильківської селищної об’єднаної територіальної громади </t>
  </si>
  <si>
    <t xml:space="preserve">Бюджет Вишнівської селищної об’єднаної територіальної громади </t>
  </si>
  <si>
    <t xml:space="preserve">Бюджет Криничанської селищної об’єднаної територіальної громади </t>
  </si>
  <si>
    <t xml:space="preserve">Бюджет Лихівської селищної об’єднаної територіальної громади </t>
  </si>
  <si>
    <t xml:space="preserve">Бюджет Покровської селищної об’єднаної територіальної громади </t>
  </si>
  <si>
    <t xml:space="preserve">Бюджет Роздорської селищної об’єднаної територіальної громади </t>
  </si>
  <si>
    <t xml:space="preserve">Бюджет Софіївської селищної об’єднаної територіальної громади </t>
  </si>
  <si>
    <t xml:space="preserve">Бюджет Томаківської селищної об’єднаної територіальної громади </t>
  </si>
  <si>
    <t xml:space="preserve">Бюджет Царичанської селищної об’єднаної територіальної громади </t>
  </si>
  <si>
    <t xml:space="preserve">Бюджет Великомихайлівської сільської об’єднаної територіальної громади </t>
  </si>
  <si>
    <t xml:space="preserve">Бюджет Гречаноподівської сільської об’єднаної територіальної громади </t>
  </si>
  <si>
    <t xml:space="preserve">Бюджет Маломихайлівської сільської об’єднаної територіальної громади </t>
  </si>
  <si>
    <t xml:space="preserve">Бюджет Новолатівської сільської об’єднаної територіальної громади </t>
  </si>
  <si>
    <t xml:space="preserve">Бюджет Новопавлівської сільської об’єднаної територіальної громади </t>
  </si>
  <si>
    <t xml:space="preserve">Бюджет Чкаловської сільської об’єднаної територіальної громади </t>
  </si>
  <si>
    <t>Бюджет Миколаївської сільської об’єднаної територіальної громади (Васильківський район)</t>
  </si>
  <si>
    <t xml:space="preserve">Бюджет Верхньодніпровської міської об’єднаної територіальної громади </t>
  </si>
  <si>
    <t xml:space="preserve">Бюджет Межівської селищної об’єднаної територіальної громади </t>
  </si>
  <si>
    <t xml:space="preserve">Бюджет Лошкарівської сільської об’єднаної територіальної громади </t>
  </si>
  <si>
    <t>Бюджет Першотравневської сільської об’єднаної територіальної громади</t>
  </si>
  <si>
    <t xml:space="preserve">Бюджет Червоногригорівської селищної об’єднаної територіальної громади </t>
  </si>
  <si>
    <t xml:space="preserve">Бюджет Межиріцької сільської об’єднаної територіальної громади </t>
  </si>
  <si>
    <t xml:space="preserve">Бюджет Троїцької сільської об’єднаної територіальної громади </t>
  </si>
  <si>
    <t xml:space="preserve">Бюджет Петриківської селищної об’єднаної територіальної громади </t>
  </si>
  <si>
    <t>Бюджет Миколаївської сільської об’єднаної територіальної громади (Петропавлівський район)</t>
  </si>
  <si>
    <t xml:space="preserve">Бюджет Зайцівської сільської об’єднаної територіальної громади </t>
  </si>
  <si>
    <t xml:space="preserve">Бюджет Раївської сільської об’єднаної територіальної громади </t>
  </si>
  <si>
    <t xml:space="preserve">Бюджет Іларіонівської селищної об’єднаної територіальної громади </t>
  </si>
  <si>
    <t xml:space="preserve">Бюджет Славгородської селищної об’єднаної територіальної громади </t>
  </si>
  <si>
    <t xml:space="preserve">Бюджет Китайгородської сільської об’єднаної територіальної громади </t>
  </si>
  <si>
    <t xml:space="preserve">Бюджет Карпівської сільської об’єднаної територіальної громади </t>
  </si>
  <si>
    <t xml:space="preserve">Бюджет Широківської селищної об’єднаної територіальної громади </t>
  </si>
  <si>
    <t xml:space="preserve">Бюджет Юр’ївської селищної об’єднаної територіальної громади </t>
  </si>
  <si>
    <t xml:space="preserve">Бюджет Любимівської сільської об’єднаної територіальної громади </t>
  </si>
  <si>
    <t xml:space="preserve">Бюджет Саксаганської сільської об’єднаної територіальної громади </t>
  </si>
  <si>
    <t xml:space="preserve">Бюджет Девладівської сільської об’єднаної територіальної громади </t>
  </si>
  <si>
    <t>Бюджет Личківської сільської об’єднаної територіальної громади</t>
  </si>
  <si>
    <t>Бюджет Перещепинської міської об’єднаної територіальної громади</t>
  </si>
  <si>
    <t>Бюджет Піщанської сільської об’єднаної територіальної громади</t>
  </si>
  <si>
    <t>Найменування бюджету - одержувача/надавача                                                                                                                                                                міжбюджетного трансферту</t>
  </si>
  <si>
    <t>Разом по бюджетах міст</t>
  </si>
  <si>
    <t>Разом по бюджетах об’єднаних територіальних громад</t>
  </si>
  <si>
    <t>Разом по районних бюджетах</t>
  </si>
  <si>
    <t>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</t>
  </si>
  <si>
    <t>відшкодування витрат за житлово-комунальні послуги та за тимчасове проживання внутрішньо переміщених осіб (вимушених переселенців) у  м. Дніпрі</t>
  </si>
  <si>
    <t xml:space="preserve"> здійснення переданих видатків у сфері охорони здоров’я за рахунок коштів медичної субвенції</t>
  </si>
  <si>
    <t xml:space="preserve">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</si>
  <si>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</si>
  <si>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</si>
  <si>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Реверсна дотація</t>
  </si>
  <si>
    <t>видатки споживання</t>
  </si>
  <si>
    <t>видатки розвитку</t>
  </si>
  <si>
    <t>КФКД 41053500</t>
  </si>
  <si>
    <t xml:space="preserve">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</si>
  <si>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КФКД 41053700</t>
  </si>
  <si>
    <t>співфінансування інвестиційних проектів</t>
  </si>
  <si>
    <t>0452800000</t>
  </si>
  <si>
    <t xml:space="preserve">Бюджет Варварівської сільської об’єднаної територіальної громади </t>
  </si>
  <si>
    <t>0455400000</t>
  </si>
  <si>
    <t xml:space="preserve">Бюджет Української сільської об’єднаної територіальної громади </t>
  </si>
  <si>
    <t xml:space="preserve"> субвенції</t>
  </si>
  <si>
    <t>КПКВК 0219620</t>
  </si>
  <si>
    <t xml:space="preserve">З НИХ </t>
  </si>
  <si>
    <t>КФКД 41051500</t>
  </si>
  <si>
    <t>КФКД 41053300</t>
  </si>
  <si>
    <t>Обласний бюджет Донецької області</t>
  </si>
  <si>
    <t>Обласний бюджет Кіровоградської області</t>
  </si>
  <si>
    <t>05100000000</t>
  </si>
  <si>
    <t>11100000000</t>
  </si>
  <si>
    <t>утримання об’єктів спільного користування чи ліквідацію негативних наслідків діяльності об’єктів спільного користування</t>
  </si>
  <si>
    <t>КПКВК 3719570</t>
  </si>
  <si>
    <t>у тому числі</t>
  </si>
  <si>
    <t>на виконання програм соціально-економічного розвитку регіонів</t>
  </si>
  <si>
    <t>КПКВК 0719420</t>
  </si>
  <si>
    <t>за рахунок залишку коштів медичної субвенції, що утворився на початок бюджетного періоду</t>
  </si>
  <si>
    <t>КПКВК 0619320</t>
  </si>
  <si>
    <t>за рахунок залишку коштів освітньої субвенції, що утворився на початок бюджетного періоду</t>
  </si>
  <si>
    <t xml:space="preserve">оплату праці з нарахуваннями педагогічних працівників </t>
  </si>
  <si>
    <t>придбання обладнання для оснащення ресурсних кімнат</t>
  </si>
  <si>
    <t>закупівлю україномовних дидактичних матеріалів для закладів загальної середньої освіти з навчанням мовами національних меншин</t>
  </si>
  <si>
    <t>забезпечення належних санітарно-гігієнічних умов у приміщеннях закладів загальної середньої освіти</t>
  </si>
  <si>
    <t>оснащення закладів загальної середньої освіти засобами навчання та обладнання для кабінетів природничо-математичних предметів</t>
  </si>
  <si>
    <t>підтримка ОТГ</t>
  </si>
  <si>
    <t>придбання обладнання для кабінетів української мови в закладах загальної середньої освіти з навчанням мовами національних меншин</t>
  </si>
  <si>
    <t>придбання обладнання для створення умов для підготовки та проведення зовнішнього незалежного оцінювання з іноземних мов</t>
  </si>
  <si>
    <t>оновлення матеріально-технічної бази</t>
  </si>
  <si>
    <t>КФКД 41054100</t>
  </si>
  <si>
    <t>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</si>
  <si>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</si>
  <si>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КПКВК 1219730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</si>
  <si>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</si>
  <si>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здійснення заходів щодо соціально- економічного розвитку окремих територій  за рахунок залишку коштів відповідної субвенції з державного бюджету, що утворився на початок бюджетного періоду</t>
  </si>
  <si>
    <t xml:space="preserve">проведення виборів депутатів місцевих рад та сільських, селищних, міських голів за рахунок відповідної субвенції з державного бюджету </t>
  </si>
  <si>
    <t>підготовку і проведення повторного голосування з додаткових виборів депутатів сільської, селищної рад</t>
  </si>
  <si>
    <t>здійснення переданих видатків у сфері охорони здоров’я за рахунок коштів медичної субвенції</t>
  </si>
  <si>
    <t>відшкодування вартості лікарських засобів для лікування окремих захворювань за рахунок відповідної субвенції з державного бюджету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</si>
  <si>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 за рахунок відповідної субвенції з державного бюджету </t>
  </si>
  <si>
    <t>здійснення переданих видатків у сфері освіти за рахунок коштів освітньої субвенції</t>
  </si>
  <si>
    <t>надання державної підтримки особам з особливими освітніми потребами</t>
  </si>
  <si>
    <t>здійснення заходів щодо соціально-економічного розвитку окремих територій за рахунок відповідної субвенції з державного бюджету</t>
  </si>
  <si>
    <t>КПКВК 3719510</t>
  </si>
  <si>
    <t>фінансування переможців обласного конкурсу мікропроектів з енергоефективності та енергозбереження серед органів самоорганізації населення та ОСББ</t>
  </si>
  <si>
    <t>КПКВК 3719800</t>
  </si>
  <si>
    <t>КПКВК 2219800</t>
  </si>
  <si>
    <t>реалізацію заходів регіональної Програми забезпечення громадського порядку та громадської безпеки на території Дніпропетровської області на період до 2020 року</t>
  </si>
  <si>
    <t>КПКВК 0619800</t>
  </si>
  <si>
    <t>виконання заходів регіональної цільової соціальної програми „Освіта Дніпропетровщини до 2021 рокуˮ</t>
  </si>
  <si>
    <t>КПКВК 2919800</t>
  </si>
  <si>
    <t>реалізацію заходів регіональної Програми забезпечення горомадського порядку та громадської безпеки на території Дніпропетровської області  на період до 2020 року</t>
  </si>
  <si>
    <t xml:space="preserve">                                                                              Додаток 4</t>
  </si>
  <si>
    <t xml:space="preserve">                                                                              до рішення  обласної ради </t>
  </si>
  <si>
    <t xml:space="preserve">                   С. ОЛІЙНИК</t>
  </si>
  <si>
    <t>придбання комп’ютерної техніки для ПТНЗ „Марганецький професійний ліцей”</t>
  </si>
  <si>
    <t xml:space="preserve"> проведення комплексу робіт з перезарядки гама-терапевтичного апарату для комунального закладу  „Криворізький онкологічний диспансер”Дніпропетровської обласної ради”</t>
  </si>
  <si>
    <t>утримання Криворізької філії комунального підприємства „Дніпропетровська обласна клінічна офтальмологічна лікарня”</t>
  </si>
  <si>
    <t xml:space="preserve"> виконання доручень виборців депутатами обласної ради у 
2019 році</t>
  </si>
  <si>
    <t>реалізацію заходів програми впровадження державної політики органами виконавчої влади у Дніпропетровській області на
 2016 – 2020 роки</t>
  </si>
  <si>
    <t>реалізацію заходів регіональної Програми забезпечення громадського порядку та громадської безпеки на території Дніпропетровської області на період до 
2020 року</t>
  </si>
  <si>
    <t xml:space="preserve">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
І групи, а також за особою, яка досягла 80-річного віку за рахунок відповідної субвенції з державного бюджету</t>
  </si>
  <si>
    <t>капітальний ремонт об’єктів соціально-культурної сфери</t>
  </si>
  <si>
    <t xml:space="preserve">для КЗ „Обласний центр екстренної медичної допомоги” Дніпропетровської обласної ради” на придбання шин для безперебійної роботи рухомого складу Нікопольської СЕМД підстанції Нікопольського району 
(автомобіль Газель АЕ 72-0613 Х)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</si>
</sst>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56"/>
      <name val="Arial Cyr"/>
      <family val="2"/>
      <charset val="204"/>
    </font>
    <font>
      <sz val="50"/>
      <name val="Times New Roman"/>
      <family val="1"/>
      <charset val="204"/>
    </font>
    <font>
      <sz val="22"/>
      <name val="Times New Roman"/>
      <family val="1"/>
      <charset val="204"/>
    </font>
    <font>
      <b/>
      <sz val="48"/>
      <name val="Times New Roman"/>
      <family val="1"/>
      <charset val="204"/>
    </font>
    <font>
      <sz val="56"/>
      <name val="Times New Roman"/>
      <family val="1"/>
      <charset val="204"/>
    </font>
    <font>
      <sz val="44"/>
      <name val="Times New Roman"/>
      <family val="1"/>
      <charset val="204"/>
    </font>
    <font>
      <sz val="42"/>
      <name val="Times New Roman"/>
      <family val="1"/>
      <charset val="204"/>
    </font>
    <font>
      <sz val="11"/>
      <name val="Arial Cyr"/>
      <family val="2"/>
      <charset val="204"/>
    </font>
    <font>
      <sz val="46"/>
      <name val="Times New Roman"/>
      <family val="1"/>
      <charset val="204"/>
    </font>
    <font>
      <b/>
      <sz val="10"/>
      <name val="Arial Cyr"/>
      <family val="2"/>
      <charset val="204"/>
    </font>
    <font>
      <sz val="28"/>
      <name val="Times New Roman"/>
      <family val="1"/>
      <charset val="204"/>
    </font>
    <font>
      <sz val="40"/>
      <name val="Bookman Old Style"/>
      <family val="1"/>
      <charset val="204"/>
    </font>
    <font>
      <sz val="40"/>
      <name val="Arial Cyr"/>
      <family val="2"/>
      <charset val="204"/>
    </font>
    <font>
      <sz val="20"/>
      <name val="Arial Cyr"/>
      <family val="2"/>
      <charset val="204"/>
    </font>
    <font>
      <sz val="10"/>
      <name val="Arial"/>
      <family val="2"/>
      <charset val="204"/>
    </font>
    <font>
      <b/>
      <sz val="52"/>
      <name val="Times New Roman"/>
      <family val="1"/>
      <charset val="204"/>
    </font>
    <font>
      <sz val="50"/>
      <name val="Arial Cyr"/>
      <family val="2"/>
      <charset val="204"/>
    </font>
    <font>
      <sz val="52"/>
      <name val="Times New Roman"/>
      <family val="1"/>
      <charset val="204"/>
    </font>
    <font>
      <b/>
      <sz val="65"/>
      <name val="Times New Roman"/>
      <family val="1"/>
      <charset val="204"/>
    </font>
    <font>
      <sz val="36"/>
      <name val="Arial Cyr"/>
      <family val="2"/>
      <charset val="204"/>
    </font>
    <font>
      <sz val="42"/>
      <name val="Arial Cyr"/>
      <family val="2"/>
      <charset val="204"/>
    </font>
    <font>
      <sz val="54"/>
      <name val="Times New Roman"/>
      <family val="1"/>
      <charset val="204"/>
    </font>
    <font>
      <b/>
      <sz val="54"/>
      <name val="Times New Roman"/>
      <family val="1"/>
      <charset val="204"/>
    </font>
    <font>
      <sz val="58"/>
      <name val="Times New Roman"/>
      <family val="1"/>
      <charset val="204"/>
    </font>
    <font>
      <sz val="58"/>
      <name val="Times New Roman Cyr"/>
      <family val="1"/>
      <charset val="204"/>
    </font>
    <font>
      <b/>
      <sz val="58"/>
      <name val="Times New Roman"/>
      <family val="1"/>
      <charset val="204"/>
    </font>
    <font>
      <sz val="58"/>
      <name val="Bookman Old Style"/>
      <family val="1"/>
      <charset val="204"/>
    </font>
    <font>
      <sz val="58"/>
      <name val="Arial Cyr"/>
      <family val="2"/>
      <charset val="204"/>
    </font>
    <font>
      <sz val="48"/>
      <name val="Times New Roman"/>
      <family val="1"/>
      <charset val="204"/>
    </font>
    <font>
      <i/>
      <sz val="56"/>
      <name val="Times New Roman"/>
      <family val="1"/>
      <charset val="204"/>
    </font>
    <font>
      <sz val="45"/>
      <name val="Times New Roman"/>
      <family val="1"/>
      <charset val="204"/>
    </font>
    <font>
      <i/>
      <sz val="54"/>
      <name val="Times New Roman"/>
      <family val="1"/>
      <charset val="204"/>
    </font>
    <font>
      <b/>
      <sz val="42"/>
      <name val="Times New Roman"/>
      <family val="1"/>
      <charset val="204"/>
    </font>
    <font>
      <sz val="40"/>
      <name val="Times New Roman"/>
      <family val="1"/>
      <charset val="204"/>
    </font>
    <font>
      <b/>
      <sz val="70"/>
      <name val="Times New Roman"/>
      <family val="1"/>
      <charset val="204"/>
    </font>
    <font>
      <sz val="70"/>
      <name val="Arial Cyr"/>
      <family val="2"/>
      <charset val="204"/>
    </font>
    <font>
      <b/>
      <sz val="70"/>
      <color theme="0"/>
      <name val="Times New Roman"/>
      <family val="1"/>
      <charset val="204"/>
    </font>
    <font>
      <sz val="50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6" fillId="0" borderId="0"/>
    <xf numFmtId="0" fontId="16" fillId="0" borderId="0"/>
  </cellStyleXfs>
  <cellXfs count="126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8" fillId="0" borderId="0" xfId="0" applyFont="1" applyFill="1"/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9" fillId="0" borderId="1" xfId="0" applyFont="1" applyFill="1" applyBorder="1"/>
    <xf numFmtId="0" fontId="1" fillId="0" borderId="1" xfId="0" applyFont="1" applyFill="1" applyBorder="1"/>
    <xf numFmtId="0" fontId="11" fillId="0" borderId="1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0" fontId="13" fillId="0" borderId="0" xfId="0" applyFont="1" applyFill="1"/>
    <xf numFmtId="3" fontId="12" fillId="0" borderId="0" xfId="0" applyNumberFormat="1" applyFont="1" applyFill="1" applyBorder="1" applyAlignment="1">
      <alignment horizontal="right"/>
    </xf>
    <xf numFmtId="0" fontId="14" fillId="0" borderId="0" xfId="0" applyFont="1" applyFill="1"/>
    <xf numFmtId="0" fontId="15" fillId="0" borderId="0" xfId="0" applyFont="1" applyFill="1"/>
    <xf numFmtId="3" fontId="1" fillId="0" borderId="0" xfId="0" applyNumberFormat="1" applyFont="1" applyFill="1"/>
    <xf numFmtId="0" fontId="1" fillId="0" borderId="0" xfId="0" applyFont="1" applyFill="1" applyBorder="1"/>
    <xf numFmtId="3" fontId="20" fillId="0" borderId="0" xfId="0" applyNumberFormat="1" applyFont="1" applyFill="1" applyBorder="1" applyAlignment="1">
      <alignment wrapText="1"/>
    </xf>
    <xf numFmtId="4" fontId="17" fillId="0" borderId="0" xfId="0" applyNumberFormat="1" applyFont="1" applyFill="1" applyAlignment="1"/>
    <xf numFmtId="0" fontId="19" fillId="0" borderId="0" xfId="0" applyNumberFormat="1" applyFont="1" applyFill="1" applyAlignment="1" applyProtection="1">
      <alignment vertical="center" wrapText="1"/>
    </xf>
    <xf numFmtId="4" fontId="19" fillId="0" borderId="0" xfId="0" applyNumberFormat="1" applyFont="1" applyFill="1" applyAlignment="1">
      <alignment horizontal="right"/>
    </xf>
    <xf numFmtId="0" fontId="14" fillId="0" borderId="1" xfId="0" applyFont="1" applyFill="1" applyBorder="1"/>
    <xf numFmtId="0" fontId="2" fillId="0" borderId="0" xfId="0" applyFont="1" applyFill="1" applyBorder="1"/>
    <xf numFmtId="0" fontId="19" fillId="0" borderId="0" xfId="0" applyNumberFormat="1" applyFont="1" applyFill="1" applyBorder="1" applyAlignment="1" applyProtection="1">
      <alignment vertical="center" wrapText="1"/>
    </xf>
    <xf numFmtId="4" fontId="17" fillId="0" borderId="0" xfId="0" applyNumberFormat="1" applyFont="1" applyFill="1" applyBorder="1" applyAlignment="1"/>
    <xf numFmtId="0" fontId="20" fillId="0" borderId="0" xfId="0" applyFont="1" applyFill="1" applyBorder="1" applyAlignment="1">
      <alignment vertical="center"/>
    </xf>
    <xf numFmtId="0" fontId="21" fillId="0" borderId="1" xfId="0" applyFont="1" applyFill="1" applyBorder="1"/>
    <xf numFmtId="0" fontId="22" fillId="0" borderId="1" xfId="0" applyFont="1" applyFill="1" applyBorder="1"/>
    <xf numFmtId="0" fontId="19" fillId="0" borderId="0" xfId="0" applyFont="1" applyFill="1" applyAlignment="1">
      <alignment horizontal="right"/>
    </xf>
    <xf numFmtId="4" fontId="25" fillId="0" borderId="2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Alignment="1"/>
    <xf numFmtId="0" fontId="22" fillId="0" borderId="3" xfId="0" applyFont="1" applyFill="1" applyBorder="1"/>
    <xf numFmtId="0" fontId="21" fillId="0" borderId="3" xfId="0" applyFont="1" applyFill="1" applyBorder="1"/>
    <xf numFmtId="0" fontId="9" fillId="0" borderId="3" xfId="0" applyFont="1" applyFill="1" applyBorder="1"/>
    <xf numFmtId="0" fontId="14" fillId="0" borderId="3" xfId="0" applyFont="1" applyFill="1" applyBorder="1"/>
    <xf numFmtId="49" fontId="23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11" fillId="0" borderId="3" xfId="0" applyFont="1" applyFill="1" applyBorder="1"/>
    <xf numFmtId="0" fontId="2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19" fillId="0" borderId="0" xfId="0" applyNumberFormat="1" applyFont="1" applyFill="1" applyBorder="1" applyAlignment="1">
      <alignment horizontal="right"/>
    </xf>
    <xf numFmtId="0" fontId="34" fillId="0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left" vertical="center"/>
    </xf>
    <xf numFmtId="0" fontId="33" fillId="0" borderId="2" xfId="0" applyFont="1" applyFill="1" applyBorder="1" applyAlignment="1">
      <alignment horizontal="center"/>
    </xf>
    <xf numFmtId="0" fontId="14" fillId="0" borderId="0" xfId="0" applyFont="1" applyFill="1" applyBorder="1"/>
    <xf numFmtId="0" fontId="35" fillId="0" borderId="2" xfId="0" applyFont="1" applyFill="1" applyBorder="1" applyAlignment="1">
      <alignment horizontal="center" vertical="center" wrapText="1"/>
    </xf>
    <xf numFmtId="0" fontId="36" fillId="0" borderId="0" xfId="0" applyFont="1" applyFill="1"/>
    <xf numFmtId="0" fontId="37" fillId="0" borderId="0" xfId="0" applyFont="1" applyFill="1"/>
    <xf numFmtId="3" fontId="36" fillId="0" borderId="0" xfId="0" applyNumberFormat="1" applyFont="1" applyFill="1" applyBorder="1" applyAlignment="1">
      <alignment horizontal="right" wrapText="1"/>
    </xf>
    <xf numFmtId="0" fontId="31" fillId="0" borderId="5" xfId="0" applyFont="1" applyFill="1" applyBorder="1" applyAlignment="1">
      <alignment vertical="center" wrapText="1"/>
    </xf>
    <xf numFmtId="4" fontId="25" fillId="0" borderId="2" xfId="0" applyNumberFormat="1" applyFont="1" applyFill="1" applyBorder="1" applyAlignment="1">
      <alignment horizontal="right" vertical="center"/>
    </xf>
    <xf numFmtId="4" fontId="26" fillId="0" borderId="2" xfId="0" applyNumberFormat="1" applyFont="1" applyFill="1" applyBorder="1" applyAlignment="1">
      <alignment vertical="center"/>
    </xf>
    <xf numFmtId="4" fontId="27" fillId="0" borderId="2" xfId="0" applyNumberFormat="1" applyFont="1" applyFill="1" applyBorder="1" applyAlignment="1">
      <alignment wrapText="1"/>
    </xf>
    <xf numFmtId="4" fontId="28" fillId="0" borderId="2" xfId="0" applyNumberFormat="1" applyFont="1" applyFill="1" applyBorder="1"/>
    <xf numFmtId="4" fontId="29" fillId="0" borderId="2" xfId="0" applyNumberFormat="1" applyFont="1" applyFill="1" applyBorder="1"/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left" wrapText="1"/>
    </xf>
    <xf numFmtId="0" fontId="23" fillId="0" borderId="5" xfId="0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/>
    <xf numFmtId="0" fontId="38" fillId="0" borderId="0" xfId="0" applyFont="1" applyFill="1"/>
    <xf numFmtId="0" fontId="39" fillId="0" borderId="0" xfId="0" applyFont="1" applyFill="1" applyBorder="1" applyAlignment="1">
      <alignment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center"/>
    </xf>
    <xf numFmtId="3" fontId="36" fillId="0" borderId="0" xfId="0" applyNumberFormat="1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/>
    <xf numFmtId="4" fontId="19" fillId="0" borderId="0" xfId="0" applyNumberFormat="1" applyFont="1" applyFill="1" applyBorder="1" applyAlignment="1">
      <alignment horizontal="left"/>
    </xf>
    <xf numFmtId="4" fontId="24" fillId="0" borderId="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4">
    <cellStyle name="Normal_Доходи" xfId="1"/>
    <cellStyle name="Обычный" xfId="0" builtinId="0"/>
    <cellStyle name="Обычный 2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4"/>
  <sheetViews>
    <sheetView showZeros="0" tabSelected="1" view="pageBreakPreview" zoomScale="20" zoomScaleNormal="25" zoomScaleSheetLayoutView="20" workbookViewId="0">
      <pane xSplit="3" ySplit="12" topLeftCell="BI103" activePane="bottomRight" state="frozen"/>
      <selection pane="topRight" activeCell="D1" sqref="D1"/>
      <selection pane="bottomLeft" activeCell="A12" sqref="A12"/>
      <selection pane="bottomRight" activeCell="B117" sqref="B117"/>
    </sheetView>
  </sheetViews>
  <sheetFormatPr defaultRowHeight="12.75" x14ac:dyDescent="0.2"/>
  <cols>
    <col min="1" max="1" width="63" style="2" customWidth="1"/>
    <col min="2" max="2" width="256" style="2" customWidth="1"/>
    <col min="3" max="3" width="72.42578125" style="2" customWidth="1"/>
    <col min="4" max="4" width="126.140625" style="2" customWidth="1"/>
    <col min="5" max="5" width="109.42578125" style="2" customWidth="1"/>
    <col min="6" max="6" width="246.42578125" style="2" customWidth="1"/>
    <col min="7" max="7" width="240" style="2" customWidth="1"/>
    <col min="8" max="8" width="131.85546875" style="2" customWidth="1"/>
    <col min="9" max="9" width="255.7109375" style="2" customWidth="1"/>
    <col min="10" max="10" width="154.7109375" style="2" customWidth="1"/>
    <col min="11" max="11" width="192.85546875" style="2" customWidth="1"/>
    <col min="12" max="12" width="117.5703125" style="2" customWidth="1"/>
    <col min="13" max="13" width="103.28515625" style="2" customWidth="1"/>
    <col min="14" max="14" width="135.7109375" style="2" customWidth="1"/>
    <col min="15" max="15" width="125.28515625" style="2" customWidth="1"/>
    <col min="16" max="16" width="128.85546875" style="2" customWidth="1"/>
    <col min="17" max="17" width="188.5703125" style="2" customWidth="1"/>
    <col min="18" max="18" width="97.85546875" style="2" customWidth="1"/>
    <col min="19" max="19" width="88.85546875" style="2" customWidth="1"/>
    <col min="20" max="22" width="96.140625" style="2" customWidth="1"/>
    <col min="23" max="23" width="77.140625" style="2" customWidth="1"/>
    <col min="24" max="24" width="96.140625" style="2" customWidth="1"/>
    <col min="25" max="25" width="84.7109375" style="2" customWidth="1"/>
    <col min="26" max="27" width="96.140625" style="2" customWidth="1"/>
    <col min="28" max="28" width="69.5703125" style="2" customWidth="1"/>
    <col min="29" max="29" width="96.140625" style="2" customWidth="1"/>
    <col min="30" max="30" width="85.7109375" style="2" customWidth="1"/>
    <col min="31" max="31" width="85.28515625" style="2" customWidth="1"/>
    <col min="32" max="32" width="77.85546875" style="2" customWidth="1"/>
    <col min="33" max="33" width="84.42578125" style="2" customWidth="1"/>
    <col min="34" max="34" width="114" style="2" customWidth="1"/>
    <col min="35" max="35" width="87.28515625" style="2" customWidth="1"/>
    <col min="36" max="36" width="106.140625" style="2" customWidth="1"/>
    <col min="37" max="38" width="100.5703125" style="2" customWidth="1"/>
    <col min="39" max="39" width="98.5703125" style="2" customWidth="1"/>
    <col min="40" max="40" width="102.5703125" style="2" customWidth="1"/>
    <col min="41" max="41" width="107.28515625" style="2" customWidth="1"/>
    <col min="42" max="42" width="118.7109375" style="2" customWidth="1"/>
    <col min="43" max="43" width="89.28515625" style="2" customWidth="1"/>
    <col min="44" max="44" width="93.5703125" style="2" customWidth="1"/>
    <col min="45" max="45" width="124" style="2" customWidth="1"/>
    <col min="46" max="46" width="85.85546875" style="2" customWidth="1"/>
    <col min="47" max="47" width="91.7109375" style="2" customWidth="1"/>
    <col min="48" max="48" width="179.140625" style="2" customWidth="1"/>
    <col min="49" max="49" width="91.42578125" style="2" customWidth="1"/>
    <col min="50" max="50" width="103.28515625" style="2" customWidth="1"/>
    <col min="51" max="52" width="111.85546875" style="2" customWidth="1"/>
    <col min="53" max="53" width="133.7109375" style="2" customWidth="1"/>
    <col min="54" max="54" width="90" style="2" customWidth="1"/>
    <col min="55" max="55" width="106.140625" style="2" customWidth="1"/>
    <col min="56" max="56" width="148.5703125" style="2" customWidth="1"/>
    <col min="57" max="57" width="117.140625" style="2" customWidth="1"/>
    <col min="58" max="58" width="128.5703125" style="2" customWidth="1"/>
    <col min="59" max="59" width="127.7109375" style="2" customWidth="1"/>
    <col min="60" max="60" width="136.140625" style="2" customWidth="1"/>
    <col min="61" max="61" width="210.42578125" style="2" customWidth="1"/>
    <col min="62" max="62" width="213.7109375" style="2" customWidth="1"/>
    <col min="63" max="63" width="130.5703125" style="2" customWidth="1"/>
    <col min="64" max="64" width="151.28515625" style="2" customWidth="1"/>
    <col min="65" max="65" width="124.140625" style="2" customWidth="1"/>
    <col min="66" max="16384" width="9.140625" style="2"/>
  </cols>
  <sheetData>
    <row r="1" spans="1:66" ht="55.5" customHeight="1" x14ac:dyDescent="0.95">
      <c r="A1" s="1"/>
      <c r="B1" s="1"/>
      <c r="C1" s="1"/>
      <c r="D1" s="27"/>
      <c r="E1" s="27"/>
      <c r="F1" s="68" t="s">
        <v>123</v>
      </c>
      <c r="G1" s="120" t="s">
        <v>299</v>
      </c>
      <c r="H1" s="120"/>
      <c r="I1" s="23"/>
      <c r="J1" s="23"/>
      <c r="K1" s="23"/>
      <c r="L1" s="23"/>
      <c r="M1" s="23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R1" s="3"/>
      <c r="AS1" s="3"/>
      <c r="AT1" s="3"/>
      <c r="AU1" s="3"/>
      <c r="AV1" s="3"/>
      <c r="AW1" s="3"/>
    </row>
    <row r="2" spans="1:66" ht="72.75" customHeight="1" x14ac:dyDescent="0.95">
      <c r="A2" s="1"/>
      <c r="B2" s="1"/>
      <c r="C2" s="1"/>
      <c r="D2" s="27"/>
      <c r="E2" s="27"/>
      <c r="F2" s="68"/>
      <c r="G2" s="121" t="s">
        <v>300</v>
      </c>
      <c r="H2" s="121"/>
      <c r="I2" s="21"/>
      <c r="J2" s="21"/>
      <c r="K2" s="21"/>
      <c r="L2" s="21"/>
      <c r="M2" s="21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8"/>
      <c r="AF2" s="28"/>
      <c r="AG2" s="28"/>
      <c r="AH2" s="28"/>
      <c r="AI2" s="28"/>
      <c r="AJ2" s="28"/>
      <c r="AK2" s="28"/>
      <c r="AL2" s="28"/>
      <c r="AM2" s="28"/>
      <c r="AN2" s="28"/>
      <c r="AR2" s="3"/>
      <c r="AS2" s="3"/>
      <c r="AT2" s="3"/>
      <c r="AU2" s="3"/>
      <c r="AV2" s="3"/>
      <c r="AW2" s="3"/>
    </row>
    <row r="3" spans="1:66" ht="87.75" customHeight="1" x14ac:dyDescent="0.9">
      <c r="A3" s="1"/>
      <c r="B3" s="1"/>
      <c r="C3" s="1"/>
      <c r="D3" s="122" t="s">
        <v>119</v>
      </c>
      <c r="E3" s="122"/>
      <c r="F3" s="122"/>
      <c r="G3" s="122"/>
      <c r="H3" s="122"/>
      <c r="I3" s="21"/>
      <c r="J3" s="21"/>
      <c r="K3" s="21"/>
      <c r="L3" s="21"/>
      <c r="M3" s="21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6"/>
      <c r="AP3" s="6"/>
      <c r="AQ3" s="6"/>
      <c r="AR3" s="3"/>
      <c r="AS3" s="3"/>
      <c r="AT3" s="3"/>
      <c r="AU3" s="3"/>
      <c r="AV3" s="3"/>
      <c r="AW3" s="3"/>
    </row>
    <row r="4" spans="1:66" ht="45" customHeight="1" x14ac:dyDescent="1">
      <c r="A4" s="5"/>
      <c r="E4" s="68"/>
      <c r="F4" s="68"/>
      <c r="G4" s="68"/>
      <c r="H4" s="47" t="s">
        <v>0</v>
      </c>
      <c r="I4" s="29"/>
      <c r="J4" s="29"/>
      <c r="K4" s="29"/>
      <c r="L4" s="29"/>
      <c r="M4" s="29"/>
      <c r="N4" s="25" t="s">
        <v>0</v>
      </c>
      <c r="O4" s="25"/>
      <c r="Q4" s="25"/>
      <c r="R4" s="25"/>
      <c r="T4" s="25"/>
      <c r="U4" s="25"/>
      <c r="V4" s="25"/>
      <c r="W4" s="25" t="s">
        <v>0</v>
      </c>
      <c r="X4" s="25"/>
      <c r="Y4" s="25"/>
      <c r="Z4" s="25"/>
      <c r="AA4" s="25"/>
      <c r="AB4" s="25"/>
      <c r="AC4" s="25"/>
      <c r="AD4" s="25"/>
      <c r="AE4" s="25"/>
      <c r="AF4" s="25"/>
      <c r="AH4" s="25" t="s">
        <v>0</v>
      </c>
      <c r="AI4" s="25"/>
      <c r="AJ4" s="25"/>
      <c r="AK4" s="25"/>
      <c r="AL4" s="25"/>
      <c r="AM4" s="25"/>
      <c r="AN4" s="25"/>
      <c r="AO4" s="7"/>
      <c r="AP4" s="7"/>
      <c r="AQ4" s="33" t="s">
        <v>0</v>
      </c>
      <c r="AR4" s="4"/>
      <c r="AS4" s="4"/>
      <c r="AT4" s="4"/>
      <c r="AU4" s="4"/>
      <c r="AW4" s="33"/>
      <c r="AY4" s="33"/>
      <c r="AZ4" s="33" t="s">
        <v>0</v>
      </c>
      <c r="BA4" s="33"/>
      <c r="BB4" s="33"/>
      <c r="BC4" s="33"/>
      <c r="BD4" s="33"/>
      <c r="BE4" s="33"/>
      <c r="BF4" s="33"/>
      <c r="BG4" s="33"/>
      <c r="BH4" s="33" t="s">
        <v>134</v>
      </c>
      <c r="BI4" s="33"/>
      <c r="BJ4" s="33"/>
      <c r="BK4" s="33"/>
      <c r="BL4" s="36"/>
      <c r="BM4" s="33" t="s">
        <v>134</v>
      </c>
    </row>
    <row r="5" spans="1:66" s="32" customFormat="1" ht="223.5" customHeight="1" x14ac:dyDescent="0.7">
      <c r="A5" s="75" t="s">
        <v>113</v>
      </c>
      <c r="B5" s="75" t="s">
        <v>229</v>
      </c>
      <c r="C5" s="75"/>
      <c r="D5" s="48" t="s">
        <v>112</v>
      </c>
      <c r="E5" s="75" t="s">
        <v>43</v>
      </c>
      <c r="F5" s="75"/>
      <c r="G5" s="75"/>
      <c r="H5" s="75"/>
      <c r="I5" s="75" t="s">
        <v>43</v>
      </c>
      <c r="J5" s="75"/>
      <c r="K5" s="75"/>
      <c r="L5" s="75"/>
      <c r="M5" s="75"/>
      <c r="N5" s="75"/>
      <c r="O5" s="75" t="s">
        <v>43</v>
      </c>
      <c r="P5" s="75"/>
      <c r="Q5" s="75"/>
      <c r="R5" s="75"/>
      <c r="S5" s="75"/>
      <c r="T5" s="75"/>
      <c r="U5" s="75"/>
      <c r="V5" s="75"/>
      <c r="W5" s="75"/>
      <c r="X5" s="111" t="s">
        <v>43</v>
      </c>
      <c r="Y5" s="119"/>
      <c r="Z5" s="119"/>
      <c r="AA5" s="119"/>
      <c r="AB5" s="119"/>
      <c r="AC5" s="119"/>
      <c r="AD5" s="119"/>
      <c r="AE5" s="119"/>
      <c r="AF5" s="119"/>
      <c r="AG5" s="119"/>
      <c r="AH5" s="112"/>
      <c r="AI5" s="90" t="s">
        <v>1</v>
      </c>
      <c r="AJ5" s="90"/>
      <c r="AK5" s="90"/>
      <c r="AL5" s="90"/>
      <c r="AM5" s="90"/>
      <c r="AN5" s="90"/>
      <c r="AO5" s="90"/>
      <c r="AP5" s="90"/>
      <c r="AQ5" s="90"/>
      <c r="AR5" s="93" t="s">
        <v>42</v>
      </c>
      <c r="AS5" s="94"/>
      <c r="AT5" s="94"/>
      <c r="AU5" s="94"/>
      <c r="AV5" s="94"/>
      <c r="AW5" s="95"/>
      <c r="AX5" s="83" t="s">
        <v>117</v>
      </c>
      <c r="AY5" s="93" t="s">
        <v>132</v>
      </c>
      <c r="AZ5" s="95"/>
      <c r="BA5" s="90" t="s">
        <v>132</v>
      </c>
      <c r="BB5" s="90"/>
      <c r="BC5" s="90"/>
      <c r="BD5" s="90"/>
      <c r="BE5" s="90"/>
      <c r="BF5" s="90"/>
      <c r="BG5" s="90"/>
      <c r="BH5" s="90"/>
      <c r="BI5" s="90" t="s">
        <v>132</v>
      </c>
      <c r="BJ5" s="90"/>
      <c r="BK5" s="90"/>
      <c r="BL5" s="90"/>
      <c r="BM5" s="113" t="s">
        <v>117</v>
      </c>
      <c r="BN5" s="37"/>
    </row>
    <row r="6" spans="1:66" s="31" customFormat="1" ht="69.75" customHeight="1" x14ac:dyDescent="0.95">
      <c r="A6" s="75"/>
      <c r="B6" s="75"/>
      <c r="C6" s="75"/>
      <c r="D6" s="91" t="s">
        <v>114</v>
      </c>
      <c r="E6" s="91"/>
      <c r="F6" s="91" t="s">
        <v>2</v>
      </c>
      <c r="G6" s="91"/>
      <c r="H6" s="91"/>
      <c r="I6" s="50" t="s">
        <v>2</v>
      </c>
      <c r="J6" s="96" t="s">
        <v>44</v>
      </c>
      <c r="K6" s="97"/>
      <c r="L6" s="97"/>
      <c r="M6" s="97"/>
      <c r="N6" s="97"/>
      <c r="O6" s="96" t="s">
        <v>44</v>
      </c>
      <c r="P6" s="97"/>
      <c r="Q6" s="97"/>
      <c r="R6" s="97"/>
      <c r="S6" s="97"/>
      <c r="T6" s="97"/>
      <c r="U6" s="97"/>
      <c r="V6" s="97"/>
      <c r="W6" s="98"/>
      <c r="X6" s="96" t="s">
        <v>44</v>
      </c>
      <c r="Y6" s="97"/>
      <c r="Z6" s="97"/>
      <c r="AA6" s="97"/>
      <c r="AB6" s="97"/>
      <c r="AC6" s="97"/>
      <c r="AD6" s="97"/>
      <c r="AE6" s="97"/>
      <c r="AF6" s="97"/>
      <c r="AG6" s="97"/>
      <c r="AH6" s="98"/>
      <c r="AI6" s="76" t="s">
        <v>262</v>
      </c>
      <c r="AJ6" s="77"/>
      <c r="AK6" s="77"/>
      <c r="AL6" s="77"/>
      <c r="AM6" s="77"/>
      <c r="AN6" s="77"/>
      <c r="AO6" s="77"/>
      <c r="AP6" s="77"/>
      <c r="AQ6" s="78"/>
      <c r="AR6" s="96" t="s">
        <v>3</v>
      </c>
      <c r="AS6" s="97"/>
      <c r="AT6" s="97"/>
      <c r="AU6" s="97"/>
      <c r="AV6" s="97"/>
      <c r="AW6" s="98"/>
      <c r="AX6" s="83"/>
      <c r="AY6" s="96" t="s">
        <v>250</v>
      </c>
      <c r="AZ6" s="98"/>
      <c r="BA6" s="96" t="s">
        <v>250</v>
      </c>
      <c r="BB6" s="97"/>
      <c r="BC6" s="97"/>
      <c r="BD6" s="97"/>
      <c r="BE6" s="97"/>
      <c r="BF6" s="97"/>
      <c r="BG6" s="97"/>
      <c r="BH6" s="98"/>
      <c r="BI6" s="91" t="s">
        <v>3</v>
      </c>
      <c r="BJ6" s="91"/>
      <c r="BK6" s="91"/>
      <c r="BL6" s="91"/>
      <c r="BM6" s="113"/>
      <c r="BN6" s="38"/>
    </row>
    <row r="7" spans="1:66" s="8" customFormat="1" ht="87" customHeight="1" x14ac:dyDescent="0.95">
      <c r="A7" s="75"/>
      <c r="B7" s="75"/>
      <c r="C7" s="75"/>
      <c r="D7" s="74" t="s">
        <v>116</v>
      </c>
      <c r="E7" s="74"/>
      <c r="F7" s="74"/>
      <c r="G7" s="74"/>
      <c r="H7" s="74"/>
      <c r="I7" s="74" t="s">
        <v>116</v>
      </c>
      <c r="J7" s="74"/>
      <c r="K7" s="74"/>
      <c r="L7" s="74"/>
      <c r="M7" s="74"/>
      <c r="N7" s="74"/>
      <c r="O7" s="80" t="s">
        <v>116</v>
      </c>
      <c r="P7" s="81"/>
      <c r="Q7" s="81"/>
      <c r="R7" s="81"/>
      <c r="S7" s="81"/>
      <c r="T7" s="81"/>
      <c r="U7" s="81"/>
      <c r="V7" s="81"/>
      <c r="W7" s="82"/>
      <c r="X7" s="80" t="s">
        <v>116</v>
      </c>
      <c r="Y7" s="81"/>
      <c r="Z7" s="81"/>
      <c r="AA7" s="81"/>
      <c r="AB7" s="81"/>
      <c r="AC7" s="81"/>
      <c r="AD7" s="81"/>
      <c r="AE7" s="81"/>
      <c r="AF7" s="81"/>
      <c r="AG7" s="81"/>
      <c r="AH7" s="82"/>
      <c r="AI7" s="80" t="s">
        <v>116</v>
      </c>
      <c r="AJ7" s="81"/>
      <c r="AK7" s="81"/>
      <c r="AL7" s="82"/>
      <c r="AM7" s="123" t="s">
        <v>115</v>
      </c>
      <c r="AN7" s="124"/>
      <c r="AO7" s="124"/>
      <c r="AP7" s="124"/>
      <c r="AQ7" s="125"/>
      <c r="AR7" s="74" t="s">
        <v>116</v>
      </c>
      <c r="AS7" s="74"/>
      <c r="AT7" s="74"/>
      <c r="AU7" s="75" t="s">
        <v>115</v>
      </c>
      <c r="AV7" s="75"/>
      <c r="AW7" s="75"/>
      <c r="AX7" s="83"/>
      <c r="AY7" s="79" t="s">
        <v>116</v>
      </c>
      <c r="AZ7" s="79"/>
      <c r="BA7" s="79" t="s">
        <v>115</v>
      </c>
      <c r="BB7" s="79"/>
      <c r="BC7" s="99" t="s">
        <v>116</v>
      </c>
      <c r="BD7" s="100"/>
      <c r="BE7" s="100"/>
      <c r="BF7" s="100"/>
      <c r="BG7" s="100"/>
      <c r="BH7" s="101"/>
      <c r="BI7" s="79" t="s">
        <v>116</v>
      </c>
      <c r="BJ7" s="79"/>
      <c r="BK7" s="79" t="s">
        <v>115</v>
      </c>
      <c r="BL7" s="79"/>
      <c r="BM7" s="113"/>
      <c r="BN7" s="39"/>
    </row>
    <row r="8" spans="1:66" s="8" customFormat="1" ht="69.75" customHeight="1" x14ac:dyDescent="1">
      <c r="A8" s="75"/>
      <c r="B8" s="75"/>
      <c r="C8" s="75"/>
      <c r="D8" s="62" t="s">
        <v>45</v>
      </c>
      <c r="E8" s="62" t="s">
        <v>52</v>
      </c>
      <c r="F8" s="62" t="s">
        <v>46</v>
      </c>
      <c r="G8" s="62" t="s">
        <v>47</v>
      </c>
      <c r="H8" s="62" t="s">
        <v>48</v>
      </c>
      <c r="I8" s="62" t="s">
        <v>49</v>
      </c>
      <c r="J8" s="62" t="s">
        <v>290</v>
      </c>
      <c r="K8" s="62" t="s">
        <v>260</v>
      </c>
      <c r="L8" s="91" t="s">
        <v>251</v>
      </c>
      <c r="M8" s="91"/>
      <c r="N8" s="62" t="s">
        <v>101</v>
      </c>
      <c r="O8" s="62" t="s">
        <v>263</v>
      </c>
      <c r="P8" s="62" t="s">
        <v>80</v>
      </c>
      <c r="Q8" s="62" t="s">
        <v>81</v>
      </c>
      <c r="R8" s="91" t="s">
        <v>120</v>
      </c>
      <c r="S8" s="91"/>
      <c r="T8" s="91"/>
      <c r="U8" s="96" t="s">
        <v>265</v>
      </c>
      <c r="V8" s="97"/>
      <c r="W8" s="98"/>
      <c r="X8" s="96" t="s">
        <v>265</v>
      </c>
      <c r="Y8" s="97"/>
      <c r="Z8" s="97"/>
      <c r="AA8" s="97"/>
      <c r="AB8" s="97"/>
      <c r="AC8" s="97"/>
      <c r="AD8" s="98"/>
      <c r="AE8" s="91" t="s">
        <v>108</v>
      </c>
      <c r="AF8" s="91"/>
      <c r="AG8" s="91"/>
      <c r="AH8" s="62" t="s">
        <v>279</v>
      </c>
      <c r="AI8" s="63" t="s">
        <v>295</v>
      </c>
      <c r="AJ8" s="63" t="s">
        <v>292</v>
      </c>
      <c r="AK8" s="63" t="s">
        <v>293</v>
      </c>
      <c r="AL8" s="63" t="s">
        <v>297</v>
      </c>
      <c r="AM8" s="63" t="s">
        <v>293</v>
      </c>
      <c r="AN8" s="56" t="s">
        <v>292</v>
      </c>
      <c r="AO8" s="91" t="s">
        <v>50</v>
      </c>
      <c r="AP8" s="91"/>
      <c r="AQ8" s="91"/>
      <c r="AR8" s="96" t="s">
        <v>51</v>
      </c>
      <c r="AS8" s="98"/>
      <c r="AT8" s="62" t="s">
        <v>125</v>
      </c>
      <c r="AU8" s="62" t="s">
        <v>125</v>
      </c>
      <c r="AV8" s="62" t="s">
        <v>51</v>
      </c>
      <c r="AW8" s="62" t="s">
        <v>51</v>
      </c>
      <c r="AX8" s="83"/>
      <c r="AY8" s="62" t="s">
        <v>253</v>
      </c>
      <c r="AZ8" s="62" t="s">
        <v>254</v>
      </c>
      <c r="BA8" s="62" t="s">
        <v>242</v>
      </c>
      <c r="BB8" s="62" t="s">
        <v>244</v>
      </c>
      <c r="BC8" s="62" t="s">
        <v>276</v>
      </c>
      <c r="BD8" s="102" t="s">
        <v>133</v>
      </c>
      <c r="BE8" s="103"/>
      <c r="BF8" s="103"/>
      <c r="BG8" s="103"/>
      <c r="BH8" s="104"/>
      <c r="BI8" s="92" t="s">
        <v>133</v>
      </c>
      <c r="BJ8" s="92"/>
      <c r="BK8" s="92"/>
      <c r="BL8" s="92"/>
      <c r="BM8" s="113"/>
      <c r="BN8" s="39"/>
    </row>
    <row r="9" spans="1:66" s="26" customFormat="1" ht="63" customHeight="1" x14ac:dyDescent="0.65">
      <c r="A9" s="75"/>
      <c r="B9" s="75"/>
      <c r="C9" s="75"/>
      <c r="D9" s="75" t="s">
        <v>239</v>
      </c>
      <c r="E9" s="115" t="s">
        <v>238</v>
      </c>
      <c r="F9" s="115" t="s">
        <v>308</v>
      </c>
      <c r="G9" s="114" t="s">
        <v>237</v>
      </c>
      <c r="H9" s="115" t="s">
        <v>236</v>
      </c>
      <c r="I9" s="118" t="s">
        <v>280</v>
      </c>
      <c r="J9" s="71" t="s">
        <v>289</v>
      </c>
      <c r="K9" s="75" t="s">
        <v>281</v>
      </c>
      <c r="L9" s="75" t="s">
        <v>282</v>
      </c>
      <c r="M9" s="52" t="s">
        <v>252</v>
      </c>
      <c r="N9" s="75" t="s">
        <v>284</v>
      </c>
      <c r="O9" s="71" t="s">
        <v>264</v>
      </c>
      <c r="P9" s="75" t="s">
        <v>285</v>
      </c>
      <c r="Q9" s="75" t="s">
        <v>286</v>
      </c>
      <c r="R9" s="75" t="s">
        <v>287</v>
      </c>
      <c r="S9" s="75" t="s">
        <v>121</v>
      </c>
      <c r="T9" s="75"/>
      <c r="U9" s="71" t="s">
        <v>266</v>
      </c>
      <c r="V9" s="111" t="s">
        <v>121</v>
      </c>
      <c r="W9" s="112"/>
      <c r="X9" s="111" t="s">
        <v>121</v>
      </c>
      <c r="Y9" s="119"/>
      <c r="Z9" s="119"/>
      <c r="AA9" s="119"/>
      <c r="AB9" s="119"/>
      <c r="AC9" s="119"/>
      <c r="AD9" s="112"/>
      <c r="AE9" s="75" t="s">
        <v>288</v>
      </c>
      <c r="AF9" s="75" t="s">
        <v>121</v>
      </c>
      <c r="AG9" s="75"/>
      <c r="AH9" s="71" t="s">
        <v>243</v>
      </c>
      <c r="AI9" s="71" t="s">
        <v>296</v>
      </c>
      <c r="AJ9" s="84" t="s">
        <v>306</v>
      </c>
      <c r="AK9" s="84" t="s">
        <v>307</v>
      </c>
      <c r="AL9" s="85"/>
      <c r="AM9" s="71" t="s">
        <v>294</v>
      </c>
      <c r="AN9" s="84" t="s">
        <v>306</v>
      </c>
      <c r="AO9" s="75" t="s">
        <v>118</v>
      </c>
      <c r="AP9" s="67" t="s">
        <v>261</v>
      </c>
      <c r="AQ9" s="71" t="s">
        <v>124</v>
      </c>
      <c r="AR9" s="75" t="s">
        <v>305</v>
      </c>
      <c r="AS9" s="71" t="s">
        <v>291</v>
      </c>
      <c r="AT9" s="71" t="s">
        <v>126</v>
      </c>
      <c r="AU9" s="71" t="s">
        <v>126</v>
      </c>
      <c r="AV9" s="75" t="s">
        <v>135</v>
      </c>
      <c r="AW9" s="75" t="s">
        <v>131</v>
      </c>
      <c r="AX9" s="83"/>
      <c r="AY9" s="75" t="s">
        <v>235</v>
      </c>
      <c r="AZ9" s="75" t="s">
        <v>259</v>
      </c>
      <c r="BA9" s="75" t="s">
        <v>243</v>
      </c>
      <c r="BB9" s="75" t="s">
        <v>245</v>
      </c>
      <c r="BC9" s="71" t="s">
        <v>277</v>
      </c>
      <c r="BD9" s="75" t="s">
        <v>233</v>
      </c>
      <c r="BE9" s="75" t="s">
        <v>304</v>
      </c>
      <c r="BF9" s="75" t="s">
        <v>303</v>
      </c>
      <c r="BG9" s="75" t="s">
        <v>302</v>
      </c>
      <c r="BH9" s="75" t="s">
        <v>234</v>
      </c>
      <c r="BI9" s="75" t="s">
        <v>298</v>
      </c>
      <c r="BJ9" s="75" t="s">
        <v>310</v>
      </c>
      <c r="BK9" s="75" t="s">
        <v>309</v>
      </c>
      <c r="BL9" s="75" t="s">
        <v>233</v>
      </c>
      <c r="BM9" s="113"/>
      <c r="BN9" s="40"/>
    </row>
    <row r="10" spans="1:66" s="26" customFormat="1" ht="246" customHeight="1" x14ac:dyDescent="0.65">
      <c r="A10" s="75"/>
      <c r="B10" s="75"/>
      <c r="C10" s="75"/>
      <c r="D10" s="75"/>
      <c r="E10" s="116"/>
      <c r="F10" s="116"/>
      <c r="G10" s="114"/>
      <c r="H10" s="116"/>
      <c r="I10" s="118"/>
      <c r="J10" s="72"/>
      <c r="K10" s="75"/>
      <c r="L10" s="75"/>
      <c r="M10" s="75" t="s">
        <v>283</v>
      </c>
      <c r="N10" s="75"/>
      <c r="O10" s="72"/>
      <c r="P10" s="75"/>
      <c r="Q10" s="75"/>
      <c r="R10" s="75"/>
      <c r="S10" s="75" t="s">
        <v>127</v>
      </c>
      <c r="T10" s="75" t="s">
        <v>122</v>
      </c>
      <c r="U10" s="72"/>
      <c r="V10" s="71" t="s">
        <v>267</v>
      </c>
      <c r="W10" s="71" t="s">
        <v>268</v>
      </c>
      <c r="X10" s="71" t="s">
        <v>269</v>
      </c>
      <c r="Y10" s="71" t="s">
        <v>270</v>
      </c>
      <c r="Z10" s="71" t="s">
        <v>273</v>
      </c>
      <c r="AA10" s="71" t="s">
        <v>271</v>
      </c>
      <c r="AB10" s="71" t="s">
        <v>272</v>
      </c>
      <c r="AC10" s="71" t="s">
        <v>274</v>
      </c>
      <c r="AD10" s="71" t="s">
        <v>275</v>
      </c>
      <c r="AE10" s="75"/>
      <c r="AF10" s="75" t="s">
        <v>240</v>
      </c>
      <c r="AG10" s="75" t="s">
        <v>241</v>
      </c>
      <c r="AH10" s="72"/>
      <c r="AI10" s="72"/>
      <c r="AJ10" s="86"/>
      <c r="AK10" s="86"/>
      <c r="AL10" s="87"/>
      <c r="AM10" s="72"/>
      <c r="AN10" s="86"/>
      <c r="AO10" s="75"/>
      <c r="AP10" s="85" t="s">
        <v>278</v>
      </c>
      <c r="AQ10" s="72"/>
      <c r="AR10" s="75"/>
      <c r="AS10" s="72"/>
      <c r="AT10" s="72"/>
      <c r="AU10" s="72"/>
      <c r="AV10" s="75"/>
      <c r="AW10" s="75"/>
      <c r="AX10" s="83"/>
      <c r="AY10" s="75"/>
      <c r="AZ10" s="75"/>
      <c r="BA10" s="75"/>
      <c r="BB10" s="75"/>
      <c r="BC10" s="72"/>
      <c r="BD10" s="75"/>
      <c r="BE10" s="75"/>
      <c r="BF10" s="75"/>
      <c r="BG10" s="75"/>
      <c r="BH10" s="75"/>
      <c r="BI10" s="75"/>
      <c r="BJ10" s="75"/>
      <c r="BK10" s="75"/>
      <c r="BL10" s="75"/>
      <c r="BM10" s="113"/>
      <c r="BN10" s="40"/>
    </row>
    <row r="11" spans="1:66" s="51" customFormat="1" ht="116.25" customHeight="1" x14ac:dyDescent="0.65">
      <c r="A11" s="75"/>
      <c r="B11" s="75"/>
      <c r="C11" s="75"/>
      <c r="D11" s="75"/>
      <c r="E11" s="116"/>
      <c r="F11" s="116"/>
      <c r="G11" s="114"/>
      <c r="H11" s="116"/>
      <c r="I11" s="118"/>
      <c r="J11" s="72"/>
      <c r="K11" s="75"/>
      <c r="L11" s="75"/>
      <c r="M11" s="75"/>
      <c r="N11" s="75"/>
      <c r="O11" s="72"/>
      <c r="P11" s="75"/>
      <c r="Q11" s="75"/>
      <c r="R11" s="75"/>
      <c r="S11" s="75"/>
      <c r="T11" s="75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5"/>
      <c r="AF11" s="75"/>
      <c r="AG11" s="75"/>
      <c r="AH11" s="72"/>
      <c r="AI11" s="72"/>
      <c r="AJ11" s="86"/>
      <c r="AK11" s="86"/>
      <c r="AL11" s="87"/>
      <c r="AM11" s="72"/>
      <c r="AN11" s="86"/>
      <c r="AO11" s="75"/>
      <c r="AP11" s="87"/>
      <c r="AQ11" s="72"/>
      <c r="AR11" s="75"/>
      <c r="AS11" s="72"/>
      <c r="AT11" s="72"/>
      <c r="AU11" s="72"/>
      <c r="AV11" s="75"/>
      <c r="AW11" s="75"/>
      <c r="AX11" s="83"/>
      <c r="AY11" s="75"/>
      <c r="AZ11" s="75"/>
      <c r="BA11" s="75"/>
      <c r="BB11" s="75"/>
      <c r="BC11" s="72"/>
      <c r="BD11" s="75"/>
      <c r="BE11" s="75"/>
      <c r="BF11" s="75"/>
      <c r="BG11" s="75"/>
      <c r="BH11" s="75"/>
      <c r="BI11" s="75"/>
      <c r="BJ11" s="75"/>
      <c r="BK11" s="75"/>
      <c r="BL11" s="75"/>
      <c r="BM11" s="113"/>
    </row>
    <row r="12" spans="1:66" s="18" customFormat="1" ht="409.5" customHeight="1" x14ac:dyDescent="0.65">
      <c r="A12" s="75"/>
      <c r="B12" s="75"/>
      <c r="C12" s="75"/>
      <c r="D12" s="75"/>
      <c r="E12" s="117"/>
      <c r="F12" s="117"/>
      <c r="G12" s="114"/>
      <c r="H12" s="117"/>
      <c r="I12" s="118"/>
      <c r="J12" s="73"/>
      <c r="K12" s="75"/>
      <c r="L12" s="75"/>
      <c r="M12" s="75"/>
      <c r="N12" s="75"/>
      <c r="O12" s="73"/>
      <c r="P12" s="75"/>
      <c r="Q12" s="75"/>
      <c r="R12" s="75"/>
      <c r="S12" s="75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5"/>
      <c r="AF12" s="75"/>
      <c r="AG12" s="75"/>
      <c r="AH12" s="73"/>
      <c r="AI12" s="73"/>
      <c r="AJ12" s="88"/>
      <c r="AK12" s="88"/>
      <c r="AL12" s="89"/>
      <c r="AM12" s="73"/>
      <c r="AN12" s="88"/>
      <c r="AO12" s="75"/>
      <c r="AP12" s="89"/>
      <c r="AQ12" s="73"/>
      <c r="AR12" s="75"/>
      <c r="AS12" s="73"/>
      <c r="AT12" s="73"/>
      <c r="AU12" s="73"/>
      <c r="AV12" s="75"/>
      <c r="AW12" s="75"/>
      <c r="AX12" s="83"/>
      <c r="AY12" s="75"/>
      <c r="AZ12" s="75"/>
      <c r="BA12" s="75"/>
      <c r="BB12" s="75"/>
      <c r="BC12" s="73"/>
      <c r="BD12" s="75"/>
      <c r="BE12" s="75"/>
      <c r="BF12" s="75"/>
      <c r="BG12" s="75"/>
      <c r="BH12" s="75"/>
      <c r="BI12" s="75"/>
      <c r="BJ12" s="75"/>
      <c r="BK12" s="75"/>
      <c r="BL12" s="75"/>
      <c r="BM12" s="113"/>
    </row>
    <row r="13" spans="1:66" ht="74.25" customHeight="1" x14ac:dyDescent="0.95">
      <c r="A13" s="41" t="s">
        <v>7</v>
      </c>
      <c r="B13" s="105" t="s">
        <v>137</v>
      </c>
      <c r="C13" s="106"/>
      <c r="D13" s="57"/>
      <c r="E13" s="57"/>
      <c r="F13" s="57">
        <v>23427000</v>
      </c>
      <c r="G13" s="57">
        <v>12515200</v>
      </c>
      <c r="H13" s="57">
        <v>5700</v>
      </c>
      <c r="I13" s="34">
        <v>78317</v>
      </c>
      <c r="J13" s="34"/>
      <c r="K13" s="34"/>
      <c r="L13" s="34"/>
      <c r="M13" s="34"/>
      <c r="N13" s="34">
        <v>633444</v>
      </c>
      <c r="O13" s="34"/>
      <c r="P13" s="34">
        <v>127969</v>
      </c>
      <c r="Q13" s="34"/>
      <c r="R13" s="34">
        <f>S13+T13</f>
        <v>1040757</v>
      </c>
      <c r="S13" s="34">
        <v>1040757</v>
      </c>
      <c r="T13" s="34"/>
      <c r="U13" s="34">
        <f>V13+W13+X13+Y13+Z13+AA13+AB13+AC13+AD13</f>
        <v>451876</v>
      </c>
      <c r="V13" s="34"/>
      <c r="W13" s="34">
        <v>451876</v>
      </c>
      <c r="X13" s="34"/>
      <c r="Y13" s="34"/>
      <c r="Z13" s="34"/>
      <c r="AA13" s="34"/>
      <c r="AB13" s="34"/>
      <c r="AC13" s="34"/>
      <c r="AD13" s="34"/>
      <c r="AE13" s="34">
        <f>AF13+AG13</f>
        <v>164346</v>
      </c>
      <c r="AF13" s="34">
        <v>164346</v>
      </c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>
        <v>750000</v>
      </c>
      <c r="AS13" s="34"/>
      <c r="AT13" s="34"/>
      <c r="AU13" s="34"/>
      <c r="AV13" s="34"/>
      <c r="AW13" s="34">
        <v>600000</v>
      </c>
      <c r="AX13" s="34">
        <f>SUM(D13:AW13)-S13-T13-AF13-AG13-M13-V13-W13-X13-Y13-Z13-AA13-AB13-AC13-AD13-AP13</f>
        <v>39794609</v>
      </c>
      <c r="AY13" s="34"/>
      <c r="AZ13" s="34"/>
      <c r="BA13" s="34"/>
      <c r="BB13" s="34"/>
      <c r="BC13" s="34"/>
      <c r="BD13" s="34">
        <f>23300</f>
        <v>23300</v>
      </c>
      <c r="BE13" s="34"/>
      <c r="BF13" s="34"/>
      <c r="BG13" s="34"/>
      <c r="BH13" s="34"/>
      <c r="BI13" s="34"/>
      <c r="BJ13" s="34"/>
      <c r="BK13" s="34"/>
      <c r="BL13" s="34"/>
      <c r="BM13" s="34">
        <f t="shared" ref="BM13:BM44" si="0">SUM(AY13:BL13)</f>
        <v>23300</v>
      </c>
    </row>
    <row r="14" spans="1:66" ht="74.25" x14ac:dyDescent="0.95">
      <c r="A14" s="41" t="s">
        <v>8</v>
      </c>
      <c r="B14" s="105" t="s">
        <v>138</v>
      </c>
      <c r="C14" s="106"/>
      <c r="D14" s="57"/>
      <c r="E14" s="57"/>
      <c r="F14" s="57">
        <v>1008643000</v>
      </c>
      <c r="G14" s="57">
        <v>462965200</v>
      </c>
      <c r="H14" s="57">
        <v>816699.99999999988</v>
      </c>
      <c r="I14" s="34">
        <v>13531443</v>
      </c>
      <c r="J14" s="34"/>
      <c r="K14" s="34"/>
      <c r="L14" s="34"/>
      <c r="M14" s="34"/>
      <c r="N14" s="34">
        <v>26330203</v>
      </c>
      <c r="O14" s="34">
        <v>36300.550000000003</v>
      </c>
      <c r="P14" s="34">
        <v>7456333</v>
      </c>
      <c r="Q14" s="34"/>
      <c r="R14" s="34">
        <f t="shared" ref="R14:R78" si="1">S14+T14</f>
        <v>6598131</v>
      </c>
      <c r="S14" s="34">
        <v>2081576</v>
      </c>
      <c r="T14" s="34">
        <v>4516555</v>
      </c>
      <c r="U14" s="34">
        <f t="shared" ref="U14:U77" si="2">V14+W14+X14+Y14+Z14+AA14+AB14+AC14+AD14</f>
        <v>8551494.0099999998</v>
      </c>
      <c r="V14" s="34"/>
      <c r="W14" s="34">
        <v>4066890</v>
      </c>
      <c r="X14" s="34">
        <v>3264053</v>
      </c>
      <c r="Y14" s="34"/>
      <c r="Z14" s="34">
        <v>1220551.01</v>
      </c>
      <c r="AA14" s="34"/>
      <c r="AB14" s="34"/>
      <c r="AC14" s="34"/>
      <c r="AD14" s="34"/>
      <c r="AE14" s="34">
        <f t="shared" ref="AE14:AE25" si="3">AF14+AG14</f>
        <v>6456450</v>
      </c>
      <c r="AF14" s="34">
        <v>6456450</v>
      </c>
      <c r="AG14" s="34"/>
      <c r="AH14" s="34">
        <v>51300000</v>
      </c>
      <c r="AI14" s="34"/>
      <c r="AJ14" s="34"/>
      <c r="AK14" s="34"/>
      <c r="AL14" s="34"/>
      <c r="AM14" s="34"/>
      <c r="AN14" s="34"/>
      <c r="AO14" s="34"/>
      <c r="AP14" s="34"/>
      <c r="AQ14" s="34"/>
      <c r="AR14" s="34">
        <v>24533000</v>
      </c>
      <c r="AS14" s="34"/>
      <c r="AT14" s="34"/>
      <c r="AU14" s="34"/>
      <c r="AV14" s="34"/>
      <c r="AW14" s="34"/>
      <c r="AX14" s="34">
        <f t="shared" ref="AX14:AX77" si="4">SUM(D14:AW14)-S14-T14-AF14-AG14-M14-V14-W14-X14-Y14-Z14-AA14-AB14-AC14-AD14-AP14</f>
        <v>1617218254.5599999</v>
      </c>
      <c r="AY14" s="34"/>
      <c r="AZ14" s="34"/>
      <c r="BA14" s="34"/>
      <c r="BB14" s="34"/>
      <c r="BC14" s="34"/>
      <c r="BD14" s="34"/>
      <c r="BE14" s="34"/>
      <c r="BF14" s="34"/>
      <c r="BG14" s="34"/>
      <c r="BH14" s="34">
        <v>2150000</v>
      </c>
      <c r="BI14" s="34"/>
      <c r="BJ14" s="34"/>
      <c r="BK14" s="34"/>
      <c r="BL14" s="34">
        <v>1003000</v>
      </c>
      <c r="BM14" s="34">
        <f t="shared" si="0"/>
        <v>3153000</v>
      </c>
    </row>
    <row r="15" spans="1:66" ht="74.25" x14ac:dyDescent="0.95">
      <c r="A15" s="41" t="s">
        <v>9</v>
      </c>
      <c r="B15" s="105" t="s">
        <v>139</v>
      </c>
      <c r="C15" s="106"/>
      <c r="D15" s="57"/>
      <c r="E15" s="57"/>
      <c r="F15" s="57">
        <v>277136000</v>
      </c>
      <c r="G15" s="57">
        <v>209255200</v>
      </c>
      <c r="H15" s="57">
        <v>323500</v>
      </c>
      <c r="I15" s="34">
        <v>9576536</v>
      </c>
      <c r="J15" s="34"/>
      <c r="K15" s="34"/>
      <c r="L15" s="34"/>
      <c r="M15" s="34"/>
      <c r="N15" s="34">
        <v>6300949</v>
      </c>
      <c r="O15" s="34"/>
      <c r="P15" s="34">
        <v>1724721</v>
      </c>
      <c r="Q15" s="34"/>
      <c r="R15" s="34">
        <f t="shared" si="1"/>
        <v>3396716</v>
      </c>
      <c r="S15" s="34">
        <v>3122271</v>
      </c>
      <c r="T15" s="34">
        <v>274445</v>
      </c>
      <c r="U15" s="34">
        <f t="shared" si="2"/>
        <v>10903753</v>
      </c>
      <c r="V15" s="34"/>
      <c r="W15" s="34">
        <v>903753</v>
      </c>
      <c r="X15" s="34"/>
      <c r="Y15" s="34"/>
      <c r="Z15" s="34"/>
      <c r="AA15" s="34"/>
      <c r="AB15" s="34"/>
      <c r="AC15" s="34"/>
      <c r="AD15" s="34">
        <v>10000000</v>
      </c>
      <c r="AE15" s="34">
        <f t="shared" si="3"/>
        <v>2954212</v>
      </c>
      <c r="AF15" s="34">
        <v>1267812</v>
      </c>
      <c r="AG15" s="34">
        <v>1686400</v>
      </c>
      <c r="AH15" s="34">
        <v>50000000</v>
      </c>
      <c r="AI15" s="34"/>
      <c r="AJ15" s="34"/>
      <c r="AK15" s="34"/>
      <c r="AL15" s="34"/>
      <c r="AM15" s="34"/>
      <c r="AN15" s="34"/>
      <c r="AO15" s="34"/>
      <c r="AP15" s="34"/>
      <c r="AQ15" s="34"/>
      <c r="AR15" s="34">
        <v>2715000</v>
      </c>
      <c r="AS15" s="34"/>
      <c r="AT15" s="34">
        <v>50000000</v>
      </c>
      <c r="AU15" s="34">
        <f>45000000+17000000+36000000</f>
        <v>98000000</v>
      </c>
      <c r="AV15" s="34"/>
      <c r="AW15" s="34"/>
      <c r="AX15" s="34">
        <f t="shared" si="4"/>
        <v>722286587</v>
      </c>
      <c r="AY15" s="34"/>
      <c r="AZ15" s="34"/>
      <c r="BA15" s="34"/>
      <c r="BB15" s="34"/>
      <c r="BC15" s="34"/>
      <c r="BD15" s="34">
        <f>20000</f>
        <v>20000</v>
      </c>
      <c r="BE15" s="34"/>
      <c r="BF15" s="34"/>
      <c r="BG15" s="34"/>
      <c r="BH15" s="34"/>
      <c r="BI15" s="34"/>
      <c r="BJ15" s="34"/>
      <c r="BK15" s="34"/>
      <c r="BL15" s="34"/>
      <c r="BM15" s="34">
        <f t="shared" si="0"/>
        <v>20000</v>
      </c>
    </row>
    <row r="16" spans="1:66" ht="74.25" x14ac:dyDescent="0.95">
      <c r="A16" s="41" t="s">
        <v>10</v>
      </c>
      <c r="B16" s="105" t="s">
        <v>140</v>
      </c>
      <c r="C16" s="106"/>
      <c r="D16" s="57"/>
      <c r="E16" s="57"/>
      <c r="F16" s="57">
        <v>65373800</v>
      </c>
      <c r="G16" s="57">
        <v>55174100</v>
      </c>
      <c r="H16" s="57">
        <v>1343800</v>
      </c>
      <c r="I16" s="34">
        <v>2474277</v>
      </c>
      <c r="J16" s="34"/>
      <c r="K16" s="34"/>
      <c r="L16" s="34"/>
      <c r="M16" s="34"/>
      <c r="N16" s="34">
        <v>1054437</v>
      </c>
      <c r="O16" s="34"/>
      <c r="P16" s="34">
        <v>282148</v>
      </c>
      <c r="Q16" s="34"/>
      <c r="R16" s="34">
        <f t="shared" si="1"/>
        <v>1040757</v>
      </c>
      <c r="S16" s="34">
        <v>1040757</v>
      </c>
      <c r="T16" s="34"/>
      <c r="U16" s="34">
        <f t="shared" si="2"/>
        <v>702957</v>
      </c>
      <c r="V16" s="34"/>
      <c r="W16" s="34">
        <v>451876</v>
      </c>
      <c r="X16" s="34">
        <v>251081</v>
      </c>
      <c r="Y16" s="34"/>
      <c r="Z16" s="34"/>
      <c r="AA16" s="34"/>
      <c r="AB16" s="34"/>
      <c r="AC16" s="34"/>
      <c r="AD16" s="34"/>
      <c r="AE16" s="34">
        <f t="shared" si="3"/>
        <v>476832</v>
      </c>
      <c r="AF16" s="34">
        <v>375648</v>
      </c>
      <c r="AG16" s="34">
        <v>101184</v>
      </c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>
        <v>760000</v>
      </c>
      <c r="AS16" s="34"/>
      <c r="AT16" s="34"/>
      <c r="AU16" s="34"/>
      <c r="AV16" s="34"/>
      <c r="AW16" s="34"/>
      <c r="AX16" s="34">
        <f t="shared" si="4"/>
        <v>128683108</v>
      </c>
      <c r="AY16" s="34"/>
      <c r="AZ16" s="34"/>
      <c r="BA16" s="34"/>
      <c r="BB16" s="34"/>
      <c r="BC16" s="34"/>
      <c r="BD16" s="34">
        <f>45600</f>
        <v>45600</v>
      </c>
      <c r="BE16" s="34"/>
      <c r="BF16" s="34"/>
      <c r="BG16" s="34"/>
      <c r="BH16" s="34"/>
      <c r="BI16" s="34"/>
      <c r="BJ16" s="34"/>
      <c r="BK16" s="34"/>
      <c r="BL16" s="34"/>
      <c r="BM16" s="34">
        <f t="shared" si="0"/>
        <v>45600</v>
      </c>
    </row>
    <row r="17" spans="1:65" ht="74.25" customHeight="1" x14ac:dyDescent="0.95">
      <c r="A17" s="41" t="s">
        <v>11</v>
      </c>
      <c r="B17" s="105" t="s">
        <v>141</v>
      </c>
      <c r="C17" s="106"/>
      <c r="D17" s="57"/>
      <c r="E17" s="57"/>
      <c r="F17" s="57">
        <v>753632400</v>
      </c>
      <c r="G17" s="57">
        <v>474531400</v>
      </c>
      <c r="H17" s="34">
        <v>2334900</v>
      </c>
      <c r="I17" s="34">
        <v>10876494</v>
      </c>
      <c r="J17" s="34">
        <v>425000</v>
      </c>
      <c r="K17" s="34">
        <v>153000</v>
      </c>
      <c r="L17" s="34"/>
      <c r="M17" s="34"/>
      <c r="N17" s="34">
        <v>13830085</v>
      </c>
      <c r="O17" s="34"/>
      <c r="P17" s="34">
        <v>3569924</v>
      </c>
      <c r="Q17" s="34"/>
      <c r="R17" s="34">
        <f t="shared" si="1"/>
        <v>1040757</v>
      </c>
      <c r="S17" s="34">
        <v>1040757</v>
      </c>
      <c r="T17" s="34"/>
      <c r="U17" s="34">
        <f t="shared" si="2"/>
        <v>5020928</v>
      </c>
      <c r="V17" s="34"/>
      <c r="W17" s="34">
        <v>4518766</v>
      </c>
      <c r="X17" s="34">
        <v>502162</v>
      </c>
      <c r="Y17" s="34"/>
      <c r="Z17" s="34"/>
      <c r="AA17" s="34"/>
      <c r="AB17" s="34"/>
      <c r="AC17" s="34"/>
      <c r="AD17" s="34"/>
      <c r="AE17" s="34">
        <f t="shared" si="3"/>
        <v>5287868</v>
      </c>
      <c r="AF17" s="34">
        <v>1784060</v>
      </c>
      <c r="AG17" s="34">
        <v>3503808</v>
      </c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>
        <v>19415000</v>
      </c>
      <c r="AS17" s="34"/>
      <c r="AT17" s="34"/>
      <c r="AU17" s="34"/>
      <c r="AV17" s="34"/>
      <c r="AW17" s="34"/>
      <c r="AX17" s="34">
        <f t="shared" si="4"/>
        <v>1290117756</v>
      </c>
      <c r="AY17" s="34"/>
      <c r="AZ17" s="34"/>
      <c r="BA17" s="34"/>
      <c r="BB17" s="34"/>
      <c r="BC17" s="34">
        <v>140000</v>
      </c>
      <c r="BD17" s="34"/>
      <c r="BE17" s="34">
        <v>10000000</v>
      </c>
      <c r="BF17" s="34">
        <v>2800000</v>
      </c>
      <c r="BG17" s="34"/>
      <c r="BH17" s="34"/>
      <c r="BI17" s="34"/>
      <c r="BJ17" s="34"/>
      <c r="BK17" s="34"/>
      <c r="BL17" s="34"/>
      <c r="BM17" s="34">
        <f t="shared" si="0"/>
        <v>12940000</v>
      </c>
    </row>
    <row r="18" spans="1:65" ht="74.25" x14ac:dyDescent="0.95">
      <c r="A18" s="41" t="s">
        <v>12</v>
      </c>
      <c r="B18" s="105" t="s">
        <v>142</v>
      </c>
      <c r="C18" s="106"/>
      <c r="D18" s="57"/>
      <c r="E18" s="57"/>
      <c r="F18" s="57">
        <v>64194700</v>
      </c>
      <c r="G18" s="57">
        <v>40146700</v>
      </c>
      <c r="H18" s="57">
        <v>202200</v>
      </c>
      <c r="I18" s="34">
        <v>7372759</v>
      </c>
      <c r="J18" s="34"/>
      <c r="K18" s="34"/>
      <c r="L18" s="34"/>
      <c r="M18" s="34"/>
      <c r="N18" s="34">
        <v>1109203</v>
      </c>
      <c r="O18" s="34"/>
      <c r="P18" s="34">
        <v>319928</v>
      </c>
      <c r="Q18" s="34"/>
      <c r="R18" s="34">
        <f t="shared" si="1"/>
        <v>1040757</v>
      </c>
      <c r="S18" s="34">
        <v>1040757</v>
      </c>
      <c r="T18" s="34"/>
      <c r="U18" s="34">
        <f t="shared" si="2"/>
        <v>564846</v>
      </c>
      <c r="V18" s="34"/>
      <c r="W18" s="34">
        <v>564846</v>
      </c>
      <c r="X18" s="34"/>
      <c r="Y18" s="34"/>
      <c r="Z18" s="34"/>
      <c r="AA18" s="34"/>
      <c r="AB18" s="34"/>
      <c r="AC18" s="34"/>
      <c r="AD18" s="34"/>
      <c r="AE18" s="34">
        <f t="shared" si="3"/>
        <v>422604</v>
      </c>
      <c r="AF18" s="34">
        <v>422604</v>
      </c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>
        <v>1590000</v>
      </c>
      <c r="AS18" s="34"/>
      <c r="AT18" s="34"/>
      <c r="AU18" s="34"/>
      <c r="AV18" s="34"/>
      <c r="AW18" s="34"/>
      <c r="AX18" s="34">
        <f t="shared" si="4"/>
        <v>116963697</v>
      </c>
      <c r="AY18" s="34"/>
      <c r="AZ18" s="34"/>
      <c r="BA18" s="34"/>
      <c r="BB18" s="34"/>
      <c r="BC18" s="34"/>
      <c r="BD18" s="34"/>
      <c r="BE18" s="34"/>
      <c r="BF18" s="34"/>
      <c r="BG18" s="34">
        <f>148500</f>
        <v>148500</v>
      </c>
      <c r="BH18" s="34"/>
      <c r="BI18" s="34"/>
      <c r="BJ18" s="34"/>
      <c r="BK18" s="34"/>
      <c r="BL18" s="34"/>
      <c r="BM18" s="34">
        <f t="shared" si="0"/>
        <v>148500</v>
      </c>
    </row>
    <row r="19" spans="1:65" ht="74.25" x14ac:dyDescent="0.95">
      <c r="A19" s="41" t="s">
        <v>13</v>
      </c>
      <c r="B19" s="105" t="s">
        <v>143</v>
      </c>
      <c r="C19" s="106"/>
      <c r="D19" s="57"/>
      <c r="E19" s="57"/>
      <c r="F19" s="57">
        <v>158743500</v>
      </c>
      <c r="G19" s="57">
        <v>88950600</v>
      </c>
      <c r="H19" s="57">
        <v>109500</v>
      </c>
      <c r="I19" s="34">
        <v>4289766</v>
      </c>
      <c r="J19" s="34"/>
      <c r="K19" s="34"/>
      <c r="L19" s="34"/>
      <c r="M19" s="34"/>
      <c r="N19" s="34">
        <v>2770918</v>
      </c>
      <c r="O19" s="34"/>
      <c r="P19" s="34">
        <v>702083</v>
      </c>
      <c r="Q19" s="34"/>
      <c r="R19" s="34">
        <f t="shared" si="1"/>
        <v>1040757</v>
      </c>
      <c r="S19" s="34">
        <v>1040757</v>
      </c>
      <c r="T19" s="34"/>
      <c r="U19" s="34">
        <f t="shared" si="2"/>
        <v>1066350.27</v>
      </c>
      <c r="V19" s="34"/>
      <c r="W19" s="34">
        <v>790784</v>
      </c>
      <c r="X19" s="34">
        <v>251081</v>
      </c>
      <c r="Y19" s="34"/>
      <c r="Z19" s="34"/>
      <c r="AA19" s="34"/>
      <c r="AB19" s="34"/>
      <c r="AC19" s="34">
        <v>24485.27</v>
      </c>
      <c r="AD19" s="34"/>
      <c r="AE19" s="34">
        <f t="shared" si="3"/>
        <v>597936</v>
      </c>
      <c r="AF19" s="34">
        <v>281736</v>
      </c>
      <c r="AG19" s="34">
        <v>316200</v>
      </c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>
        <v>2740000</v>
      </c>
      <c r="AS19" s="34"/>
      <c r="AT19" s="34">
        <f>17000000-17000000</f>
        <v>0</v>
      </c>
      <c r="AU19" s="34"/>
      <c r="AV19" s="34"/>
      <c r="AW19" s="34"/>
      <c r="AX19" s="34">
        <f t="shared" si="4"/>
        <v>261011410.27000001</v>
      </c>
      <c r="AY19" s="34"/>
      <c r="AZ19" s="34"/>
      <c r="BA19" s="34"/>
      <c r="BB19" s="34"/>
      <c r="BC19" s="34"/>
      <c r="BD19" s="34">
        <v>112200</v>
      </c>
      <c r="BE19" s="34"/>
      <c r="BF19" s="34"/>
      <c r="BG19" s="34"/>
      <c r="BH19" s="34"/>
      <c r="BI19" s="34"/>
      <c r="BJ19" s="34"/>
      <c r="BK19" s="34"/>
      <c r="BL19" s="34"/>
      <c r="BM19" s="34">
        <f t="shared" si="0"/>
        <v>112200</v>
      </c>
    </row>
    <row r="20" spans="1:65" ht="74.25" x14ac:dyDescent="0.95">
      <c r="A20" s="41" t="s">
        <v>14</v>
      </c>
      <c r="B20" s="105" t="s">
        <v>144</v>
      </c>
      <c r="C20" s="106"/>
      <c r="D20" s="57"/>
      <c r="E20" s="57"/>
      <c r="F20" s="57">
        <v>93689200</v>
      </c>
      <c r="G20" s="57">
        <v>57895400</v>
      </c>
      <c r="H20" s="57">
        <v>140800</v>
      </c>
      <c r="I20" s="34">
        <v>1903808</v>
      </c>
      <c r="J20" s="34"/>
      <c r="K20" s="34"/>
      <c r="L20" s="34"/>
      <c r="M20" s="34"/>
      <c r="N20" s="34">
        <v>1583280</v>
      </c>
      <c r="O20" s="34"/>
      <c r="P20" s="34">
        <v>410116</v>
      </c>
      <c r="Q20" s="34"/>
      <c r="R20" s="34">
        <f t="shared" si="1"/>
        <v>1040757</v>
      </c>
      <c r="S20" s="34">
        <v>1040757</v>
      </c>
      <c r="T20" s="34"/>
      <c r="U20" s="34">
        <f t="shared" si="2"/>
        <v>702957</v>
      </c>
      <c r="V20" s="34"/>
      <c r="W20" s="34">
        <v>451876</v>
      </c>
      <c r="X20" s="34">
        <v>251081</v>
      </c>
      <c r="Y20" s="34"/>
      <c r="Z20" s="34"/>
      <c r="AA20" s="34"/>
      <c r="AB20" s="34"/>
      <c r="AC20" s="34"/>
      <c r="AD20" s="34"/>
      <c r="AE20" s="34">
        <f t="shared" si="3"/>
        <v>891584</v>
      </c>
      <c r="AF20" s="34">
        <v>845208</v>
      </c>
      <c r="AG20" s="34">
        <v>46376</v>
      </c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>
        <v>1570000</v>
      </c>
      <c r="AS20" s="34"/>
      <c r="AT20" s="34"/>
      <c r="AU20" s="34"/>
      <c r="AV20" s="34"/>
      <c r="AW20" s="34"/>
      <c r="AX20" s="34">
        <f t="shared" si="4"/>
        <v>159827902</v>
      </c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>
        <v>70800</v>
      </c>
      <c r="BM20" s="34">
        <f t="shared" si="0"/>
        <v>70800</v>
      </c>
    </row>
    <row r="21" spans="1:65" ht="74.25" customHeight="1" x14ac:dyDescent="0.95">
      <c r="A21" s="41" t="s">
        <v>15</v>
      </c>
      <c r="B21" s="105" t="s">
        <v>145</v>
      </c>
      <c r="C21" s="106"/>
      <c r="D21" s="57"/>
      <c r="E21" s="57"/>
      <c r="F21" s="57">
        <v>55989000</v>
      </c>
      <c r="G21" s="57">
        <v>33004400</v>
      </c>
      <c r="H21" s="57">
        <v>321400</v>
      </c>
      <c r="I21" s="34">
        <v>1263980</v>
      </c>
      <c r="J21" s="34"/>
      <c r="K21" s="34"/>
      <c r="L21" s="34"/>
      <c r="M21" s="34"/>
      <c r="N21" s="34">
        <v>892505</v>
      </c>
      <c r="O21" s="34"/>
      <c r="P21" s="34">
        <v>349736</v>
      </c>
      <c r="Q21" s="34"/>
      <c r="R21" s="34">
        <f t="shared" si="1"/>
        <v>1040757</v>
      </c>
      <c r="S21" s="34">
        <v>1040757</v>
      </c>
      <c r="T21" s="34"/>
      <c r="U21" s="34">
        <f t="shared" si="2"/>
        <v>112969</v>
      </c>
      <c r="V21" s="34"/>
      <c r="W21" s="34">
        <v>112969</v>
      </c>
      <c r="X21" s="34"/>
      <c r="Y21" s="34"/>
      <c r="Z21" s="34"/>
      <c r="AA21" s="34"/>
      <c r="AB21" s="34"/>
      <c r="AC21" s="34"/>
      <c r="AD21" s="34"/>
      <c r="AE21" s="34">
        <f t="shared" si="3"/>
        <v>713508</v>
      </c>
      <c r="AF21" s="34">
        <v>422604</v>
      </c>
      <c r="AG21" s="34">
        <v>290904</v>
      </c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>
        <v>1500000</v>
      </c>
      <c r="AS21" s="34"/>
      <c r="AT21" s="34"/>
      <c r="AU21" s="34"/>
      <c r="AV21" s="34"/>
      <c r="AW21" s="34"/>
      <c r="AX21" s="34">
        <f t="shared" si="4"/>
        <v>95188255</v>
      </c>
      <c r="AY21" s="34"/>
      <c r="AZ21" s="34"/>
      <c r="BA21" s="34"/>
      <c r="BB21" s="34"/>
      <c r="BC21" s="34"/>
      <c r="BD21" s="34">
        <v>41400</v>
      </c>
      <c r="BE21" s="34"/>
      <c r="BF21" s="34"/>
      <c r="BG21" s="34"/>
      <c r="BH21" s="34"/>
      <c r="BI21" s="34"/>
      <c r="BJ21" s="34"/>
      <c r="BK21" s="34"/>
      <c r="BL21" s="34"/>
      <c r="BM21" s="34">
        <f t="shared" si="0"/>
        <v>41400</v>
      </c>
    </row>
    <row r="22" spans="1:65" ht="74.25" x14ac:dyDescent="0.95">
      <c r="A22" s="41" t="s">
        <v>16</v>
      </c>
      <c r="B22" s="105" t="s">
        <v>146</v>
      </c>
      <c r="C22" s="106"/>
      <c r="D22" s="57"/>
      <c r="E22" s="57"/>
      <c r="F22" s="57">
        <v>129411000</v>
      </c>
      <c r="G22" s="57">
        <v>77868000</v>
      </c>
      <c r="H22" s="57">
        <v>772100</v>
      </c>
      <c r="I22" s="34">
        <v>3151947</v>
      </c>
      <c r="J22" s="34"/>
      <c r="K22" s="34"/>
      <c r="L22" s="34"/>
      <c r="M22" s="34"/>
      <c r="N22" s="34">
        <v>3198958</v>
      </c>
      <c r="O22" s="34"/>
      <c r="P22" s="34">
        <v>653288</v>
      </c>
      <c r="Q22" s="34"/>
      <c r="R22" s="34">
        <f t="shared" si="1"/>
        <v>1040757</v>
      </c>
      <c r="S22" s="34">
        <v>1040757</v>
      </c>
      <c r="T22" s="34"/>
      <c r="U22" s="34">
        <f t="shared" si="2"/>
        <v>1832648</v>
      </c>
      <c r="V22" s="34"/>
      <c r="W22" s="34">
        <v>1581567</v>
      </c>
      <c r="X22" s="34">
        <v>251081</v>
      </c>
      <c r="Y22" s="34"/>
      <c r="Z22" s="34"/>
      <c r="AA22" s="34"/>
      <c r="AB22" s="34"/>
      <c r="AC22" s="34"/>
      <c r="AD22" s="34"/>
      <c r="AE22" s="34">
        <f t="shared" si="3"/>
        <v>821730</v>
      </c>
      <c r="AF22" s="34">
        <v>821730</v>
      </c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>
        <v>4290000</v>
      </c>
      <c r="AS22" s="34"/>
      <c r="AT22" s="34"/>
      <c r="AU22" s="34"/>
      <c r="AV22" s="34"/>
      <c r="AW22" s="34"/>
      <c r="AX22" s="34">
        <f t="shared" si="4"/>
        <v>223040428</v>
      </c>
      <c r="AY22" s="34"/>
      <c r="AZ22" s="34"/>
      <c r="BA22" s="34"/>
      <c r="BB22" s="34"/>
      <c r="BC22" s="34"/>
      <c r="BD22" s="34">
        <f>106200</f>
        <v>106200</v>
      </c>
      <c r="BE22" s="34"/>
      <c r="BF22" s="34"/>
      <c r="BG22" s="34"/>
      <c r="BH22" s="34"/>
      <c r="BI22" s="34"/>
      <c r="BJ22" s="34"/>
      <c r="BK22" s="34"/>
      <c r="BL22" s="34"/>
      <c r="BM22" s="34">
        <f t="shared" si="0"/>
        <v>106200</v>
      </c>
    </row>
    <row r="23" spans="1:65" ht="74.25" x14ac:dyDescent="0.95">
      <c r="A23" s="41" t="s">
        <v>17</v>
      </c>
      <c r="B23" s="105" t="s">
        <v>147</v>
      </c>
      <c r="C23" s="106"/>
      <c r="D23" s="57"/>
      <c r="E23" s="57"/>
      <c r="F23" s="57">
        <v>27064800</v>
      </c>
      <c r="G23" s="57">
        <v>8685000</v>
      </c>
      <c r="H23" s="57">
        <v>0</v>
      </c>
      <c r="I23" s="34">
        <v>2185463</v>
      </c>
      <c r="J23" s="34"/>
      <c r="K23" s="34"/>
      <c r="L23" s="34"/>
      <c r="M23" s="34"/>
      <c r="N23" s="34">
        <v>1093360</v>
      </c>
      <c r="O23" s="34"/>
      <c r="P23" s="34">
        <v>184140</v>
      </c>
      <c r="Q23" s="34"/>
      <c r="R23" s="34">
        <f t="shared" si="1"/>
        <v>1040757</v>
      </c>
      <c r="S23" s="34">
        <v>1040757</v>
      </c>
      <c r="T23" s="34"/>
      <c r="U23" s="34">
        <f t="shared" si="2"/>
        <v>589988</v>
      </c>
      <c r="V23" s="34"/>
      <c r="W23" s="34">
        <v>338907</v>
      </c>
      <c r="X23" s="34">
        <v>251081</v>
      </c>
      <c r="Y23" s="34"/>
      <c r="Z23" s="34"/>
      <c r="AA23" s="34"/>
      <c r="AB23" s="34"/>
      <c r="AC23" s="34"/>
      <c r="AD23" s="34"/>
      <c r="AE23" s="34">
        <f t="shared" si="3"/>
        <v>539994</v>
      </c>
      <c r="AF23" s="34">
        <v>539994</v>
      </c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>
        <v>1082000</v>
      </c>
      <c r="AS23" s="34"/>
      <c r="AT23" s="34"/>
      <c r="AU23" s="34"/>
      <c r="AV23" s="34"/>
      <c r="AW23" s="34"/>
      <c r="AX23" s="34">
        <f t="shared" si="4"/>
        <v>42465502</v>
      </c>
      <c r="AY23" s="34"/>
      <c r="AZ23" s="34"/>
      <c r="BA23" s="34"/>
      <c r="BB23" s="34"/>
      <c r="BC23" s="34"/>
      <c r="BD23" s="34">
        <f>28400</f>
        <v>28400</v>
      </c>
      <c r="BE23" s="34"/>
      <c r="BF23" s="34"/>
      <c r="BG23" s="34"/>
      <c r="BH23" s="34"/>
      <c r="BI23" s="34"/>
      <c r="BJ23" s="34"/>
      <c r="BK23" s="34"/>
      <c r="BL23" s="34"/>
      <c r="BM23" s="34">
        <f t="shared" si="0"/>
        <v>28400</v>
      </c>
    </row>
    <row r="24" spans="1:65" ht="74.25" x14ac:dyDescent="0.95">
      <c r="A24" s="41" t="s">
        <v>18</v>
      </c>
      <c r="B24" s="105" t="s">
        <v>148</v>
      </c>
      <c r="C24" s="106"/>
      <c r="D24" s="57"/>
      <c r="E24" s="57"/>
      <c r="F24" s="57">
        <v>43974500</v>
      </c>
      <c r="G24" s="57">
        <v>28456500</v>
      </c>
      <c r="H24" s="57">
        <v>413100</v>
      </c>
      <c r="I24" s="34">
        <v>1839558</v>
      </c>
      <c r="J24" s="34"/>
      <c r="K24" s="34"/>
      <c r="L24" s="34"/>
      <c r="M24" s="34"/>
      <c r="N24" s="34">
        <f>124334-124334</f>
        <v>0</v>
      </c>
      <c r="O24" s="34"/>
      <c r="P24" s="34">
        <v>203711</v>
      </c>
      <c r="Q24" s="34"/>
      <c r="R24" s="34">
        <f t="shared" si="1"/>
        <v>1040757</v>
      </c>
      <c r="S24" s="34">
        <v>1040757</v>
      </c>
      <c r="T24" s="34"/>
      <c r="U24" s="34">
        <f t="shared" si="2"/>
        <v>338907</v>
      </c>
      <c r="V24" s="34"/>
      <c r="W24" s="34">
        <v>338907</v>
      </c>
      <c r="X24" s="34"/>
      <c r="Y24" s="34"/>
      <c r="Z24" s="34"/>
      <c r="AA24" s="34"/>
      <c r="AB24" s="34"/>
      <c r="AC24" s="34"/>
      <c r="AD24" s="34"/>
      <c r="AE24" s="34">
        <f t="shared" si="3"/>
        <v>526766</v>
      </c>
      <c r="AF24" s="34">
        <v>493038</v>
      </c>
      <c r="AG24" s="34">
        <v>33728</v>
      </c>
      <c r="AH24" s="34"/>
      <c r="AI24" s="34"/>
      <c r="AJ24" s="34"/>
      <c r="AK24" s="34"/>
      <c r="AL24" s="34"/>
      <c r="AM24" s="34"/>
      <c r="AN24" s="34"/>
      <c r="AO24" s="57"/>
      <c r="AP24" s="57"/>
      <c r="AQ24" s="57"/>
      <c r="AR24" s="34">
        <v>870000</v>
      </c>
      <c r="AS24" s="34"/>
      <c r="AT24" s="34"/>
      <c r="AU24" s="34"/>
      <c r="AV24" s="34"/>
      <c r="AW24" s="34"/>
      <c r="AX24" s="34">
        <f t="shared" si="4"/>
        <v>77663799</v>
      </c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>
        <f>31000</f>
        <v>31000</v>
      </c>
      <c r="BM24" s="34">
        <f t="shared" si="0"/>
        <v>31000</v>
      </c>
    </row>
    <row r="25" spans="1:65" ht="70.5" customHeight="1" x14ac:dyDescent="0.95">
      <c r="A25" s="41" t="s">
        <v>19</v>
      </c>
      <c r="B25" s="105" t="s">
        <v>149</v>
      </c>
      <c r="C25" s="106"/>
      <c r="D25" s="57"/>
      <c r="E25" s="57"/>
      <c r="F25" s="57">
        <v>27089700</v>
      </c>
      <c r="G25" s="57">
        <v>8497500</v>
      </c>
      <c r="H25" s="57">
        <v>245800</v>
      </c>
      <c r="I25" s="34">
        <v>1930292</v>
      </c>
      <c r="J25" s="34"/>
      <c r="K25" s="34"/>
      <c r="L25" s="34"/>
      <c r="M25" s="34"/>
      <c r="N25" s="34">
        <v>860800</v>
      </c>
      <c r="O25" s="34"/>
      <c r="P25" s="34">
        <v>287662</v>
      </c>
      <c r="Q25" s="34"/>
      <c r="R25" s="34">
        <f t="shared" si="1"/>
        <v>1040757</v>
      </c>
      <c r="S25" s="34">
        <v>1040757</v>
      </c>
      <c r="T25" s="34"/>
      <c r="U25" s="34">
        <f t="shared" si="2"/>
        <v>753243</v>
      </c>
      <c r="V25" s="34"/>
      <c r="W25" s="34"/>
      <c r="X25" s="34">
        <v>753243</v>
      </c>
      <c r="Y25" s="34"/>
      <c r="Z25" s="34"/>
      <c r="AA25" s="34"/>
      <c r="AB25" s="34"/>
      <c r="AC25" s="34"/>
      <c r="AD25" s="34"/>
      <c r="AE25" s="34">
        <f t="shared" si="3"/>
        <v>117390</v>
      </c>
      <c r="AF25" s="34">
        <v>117390</v>
      </c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>
        <v>750000</v>
      </c>
      <c r="AS25" s="34"/>
      <c r="AT25" s="34"/>
      <c r="AU25" s="34"/>
      <c r="AV25" s="34"/>
      <c r="AW25" s="34"/>
      <c r="AX25" s="34">
        <f t="shared" si="4"/>
        <v>41573144</v>
      </c>
      <c r="AY25" s="34"/>
      <c r="AZ25" s="34"/>
      <c r="BA25" s="34"/>
      <c r="BB25" s="34"/>
      <c r="BC25" s="34"/>
      <c r="BD25" s="34">
        <v>28400</v>
      </c>
      <c r="BE25" s="34"/>
      <c r="BF25" s="34"/>
      <c r="BG25" s="34"/>
      <c r="BH25" s="34"/>
      <c r="BI25" s="34"/>
      <c r="BJ25" s="34"/>
      <c r="BK25" s="34">
        <f>1000000</f>
        <v>1000000</v>
      </c>
      <c r="BL25" s="34"/>
      <c r="BM25" s="34">
        <f t="shared" si="0"/>
        <v>1028400</v>
      </c>
    </row>
    <row r="26" spans="1:65" ht="74.25" x14ac:dyDescent="0.95">
      <c r="A26" s="41"/>
      <c r="B26" s="105" t="s">
        <v>230</v>
      </c>
      <c r="C26" s="106"/>
      <c r="D26" s="57">
        <f>SUM(D13:D25)</f>
        <v>0</v>
      </c>
      <c r="E26" s="57">
        <f t="shared" ref="E26:BL26" si="5">SUM(E13:E25)</f>
        <v>0</v>
      </c>
      <c r="F26" s="57">
        <f t="shared" si="5"/>
        <v>2728368600</v>
      </c>
      <c r="G26" s="57">
        <f t="shared" si="5"/>
        <v>1557945200</v>
      </c>
      <c r="H26" s="57">
        <f t="shared" si="5"/>
        <v>7029500</v>
      </c>
      <c r="I26" s="57">
        <f t="shared" si="5"/>
        <v>60474640</v>
      </c>
      <c r="J26" s="57">
        <f t="shared" si="5"/>
        <v>425000</v>
      </c>
      <c r="K26" s="57">
        <f t="shared" si="5"/>
        <v>153000</v>
      </c>
      <c r="L26" s="57">
        <f>M26</f>
        <v>0</v>
      </c>
      <c r="M26" s="57">
        <f t="shared" si="5"/>
        <v>0</v>
      </c>
      <c r="N26" s="57">
        <f t="shared" si="5"/>
        <v>59658142</v>
      </c>
      <c r="O26" s="57">
        <f t="shared" si="5"/>
        <v>36300.550000000003</v>
      </c>
      <c r="P26" s="57">
        <f t="shared" si="5"/>
        <v>16271759</v>
      </c>
      <c r="Q26" s="57">
        <f t="shared" si="5"/>
        <v>0</v>
      </c>
      <c r="R26" s="57">
        <f t="shared" si="5"/>
        <v>21443174</v>
      </c>
      <c r="S26" s="57">
        <f t="shared" si="5"/>
        <v>16652174</v>
      </c>
      <c r="T26" s="57">
        <f t="shared" si="5"/>
        <v>4791000</v>
      </c>
      <c r="U26" s="57">
        <f t="shared" si="5"/>
        <v>31592916.279999997</v>
      </c>
      <c r="V26" s="57">
        <f t="shared" si="5"/>
        <v>0</v>
      </c>
      <c r="W26" s="57">
        <f t="shared" si="5"/>
        <v>14573017</v>
      </c>
      <c r="X26" s="57">
        <f t="shared" si="5"/>
        <v>5774863</v>
      </c>
      <c r="Y26" s="57">
        <f t="shared" si="5"/>
        <v>0</v>
      </c>
      <c r="Z26" s="57">
        <f t="shared" si="5"/>
        <v>1220551.01</v>
      </c>
      <c r="AA26" s="57">
        <f t="shared" si="5"/>
        <v>0</v>
      </c>
      <c r="AB26" s="57">
        <f t="shared" si="5"/>
        <v>0</v>
      </c>
      <c r="AC26" s="57">
        <f t="shared" si="5"/>
        <v>24485.27</v>
      </c>
      <c r="AD26" s="57">
        <f t="shared" si="5"/>
        <v>10000000</v>
      </c>
      <c r="AE26" s="57">
        <f t="shared" si="5"/>
        <v>19971220</v>
      </c>
      <c r="AF26" s="57">
        <f t="shared" si="5"/>
        <v>13992620</v>
      </c>
      <c r="AG26" s="57">
        <f t="shared" si="5"/>
        <v>5978600</v>
      </c>
      <c r="AH26" s="57">
        <f t="shared" si="5"/>
        <v>101300000</v>
      </c>
      <c r="AI26" s="57"/>
      <c r="AJ26" s="57">
        <f t="shared" si="5"/>
        <v>0</v>
      </c>
      <c r="AK26" s="57"/>
      <c r="AL26" s="57"/>
      <c r="AM26" s="57"/>
      <c r="AN26" s="57"/>
      <c r="AO26" s="57"/>
      <c r="AP26" s="57"/>
      <c r="AQ26" s="57">
        <f t="shared" si="5"/>
        <v>0</v>
      </c>
      <c r="AR26" s="57">
        <f t="shared" si="5"/>
        <v>62565000</v>
      </c>
      <c r="AS26" s="57">
        <f t="shared" si="5"/>
        <v>0</v>
      </c>
      <c r="AT26" s="57">
        <f t="shared" si="5"/>
        <v>50000000</v>
      </c>
      <c r="AU26" s="57">
        <f t="shared" si="5"/>
        <v>98000000</v>
      </c>
      <c r="AV26" s="57">
        <f t="shared" si="5"/>
        <v>0</v>
      </c>
      <c r="AW26" s="57">
        <f t="shared" si="5"/>
        <v>600000</v>
      </c>
      <c r="AX26" s="34">
        <f t="shared" si="4"/>
        <v>4815834451.8299999</v>
      </c>
      <c r="AY26" s="34">
        <f>SUM(AY13:AY25)</f>
        <v>0</v>
      </c>
      <c r="AZ26" s="34">
        <f>SUM(AZ13:AZ25)</f>
        <v>0</v>
      </c>
      <c r="BA26" s="34">
        <f>SUM(BA13:BA25)</f>
        <v>0</v>
      </c>
      <c r="BB26" s="34">
        <f>SUM(BB13:BB25)</f>
        <v>0</v>
      </c>
      <c r="BC26" s="34">
        <f>SUM(BC13:BC25)</f>
        <v>140000</v>
      </c>
      <c r="BD26" s="57">
        <f t="shared" si="5"/>
        <v>405500</v>
      </c>
      <c r="BE26" s="57">
        <f t="shared" si="5"/>
        <v>10000000</v>
      </c>
      <c r="BF26" s="57">
        <f t="shared" si="5"/>
        <v>2800000</v>
      </c>
      <c r="BG26" s="57">
        <f t="shared" si="5"/>
        <v>148500</v>
      </c>
      <c r="BH26" s="57">
        <f>SUM(BH13:BH25)</f>
        <v>2150000</v>
      </c>
      <c r="BI26" s="57">
        <f>SUM(BI13:BI25)</f>
        <v>0</v>
      </c>
      <c r="BJ26" s="57">
        <f>SUM(BJ13:BJ25)</f>
        <v>0</v>
      </c>
      <c r="BK26" s="57">
        <f>SUM(BK13:BK25)</f>
        <v>1000000</v>
      </c>
      <c r="BL26" s="57">
        <f t="shared" si="5"/>
        <v>1104800</v>
      </c>
      <c r="BM26" s="34">
        <f t="shared" si="0"/>
        <v>17748800</v>
      </c>
    </row>
    <row r="27" spans="1:65" ht="74.25" x14ac:dyDescent="0.95">
      <c r="A27" s="41" t="s">
        <v>20</v>
      </c>
      <c r="B27" s="105" t="s">
        <v>171</v>
      </c>
      <c r="C27" s="106"/>
      <c r="D27" s="57"/>
      <c r="E27" s="57"/>
      <c r="F27" s="57">
        <v>83908000</v>
      </c>
      <c r="G27" s="57">
        <v>47528800</v>
      </c>
      <c r="H27" s="57">
        <v>2557800</v>
      </c>
      <c r="I27" s="34">
        <v>7244394</v>
      </c>
      <c r="J27" s="34"/>
      <c r="K27" s="34"/>
      <c r="L27" s="34"/>
      <c r="M27" s="34"/>
      <c r="N27" s="34"/>
      <c r="O27" s="34"/>
      <c r="P27" s="34"/>
      <c r="Q27" s="34"/>
      <c r="R27" s="34">
        <f t="shared" si="1"/>
        <v>0</v>
      </c>
      <c r="S27" s="34"/>
      <c r="T27" s="34"/>
      <c r="U27" s="34">
        <f t="shared" si="2"/>
        <v>0</v>
      </c>
      <c r="V27" s="34"/>
      <c r="W27" s="34"/>
      <c r="X27" s="34"/>
      <c r="Y27" s="34"/>
      <c r="Z27" s="34"/>
      <c r="AA27" s="34"/>
      <c r="AB27" s="34"/>
      <c r="AC27" s="34"/>
      <c r="AD27" s="34"/>
      <c r="AE27" s="34">
        <f>AF27+AG27</f>
        <v>0</v>
      </c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>
        <v>300000</v>
      </c>
      <c r="AS27" s="34"/>
      <c r="AT27" s="34"/>
      <c r="AU27" s="34"/>
      <c r="AV27" s="34"/>
      <c r="AW27" s="34"/>
      <c r="AX27" s="34">
        <f t="shared" si="4"/>
        <v>141538994</v>
      </c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>
        <f t="shared" si="0"/>
        <v>0</v>
      </c>
    </row>
    <row r="28" spans="1:65" ht="74.25" x14ac:dyDescent="0.95">
      <c r="A28" s="41" t="s">
        <v>21</v>
      </c>
      <c r="B28" s="105" t="s">
        <v>150</v>
      </c>
      <c r="C28" s="106"/>
      <c r="D28" s="57"/>
      <c r="E28" s="57">
        <f>998760+1858251</f>
        <v>2857011</v>
      </c>
      <c r="F28" s="57">
        <v>62841200</v>
      </c>
      <c r="G28" s="57">
        <v>25687500</v>
      </c>
      <c r="H28" s="57">
        <v>2381100</v>
      </c>
      <c r="I28" s="34">
        <v>2675761</v>
      </c>
      <c r="J28" s="34"/>
      <c r="K28" s="34"/>
      <c r="L28" s="34"/>
      <c r="M28" s="34"/>
      <c r="N28" s="34">
        <f>148481-148481</f>
        <v>0</v>
      </c>
      <c r="O28" s="34"/>
      <c r="P28" s="34">
        <v>207628</v>
      </c>
      <c r="Q28" s="34"/>
      <c r="R28" s="34">
        <f t="shared" si="1"/>
        <v>1040757</v>
      </c>
      <c r="S28" s="34">
        <v>1040757</v>
      </c>
      <c r="T28" s="34"/>
      <c r="U28" s="34">
        <f t="shared" si="2"/>
        <v>4564846</v>
      </c>
      <c r="V28" s="34"/>
      <c r="W28" s="34">
        <v>564846</v>
      </c>
      <c r="X28" s="34"/>
      <c r="Y28" s="34"/>
      <c r="Z28" s="34"/>
      <c r="AA28" s="34">
        <v>1037682</v>
      </c>
      <c r="AB28" s="34"/>
      <c r="AC28" s="34"/>
      <c r="AD28" s="34">
        <v>2962318</v>
      </c>
      <c r="AE28" s="34">
        <f t="shared" ref="AE28:AE48" si="6">AF28+AG28</f>
        <v>187824</v>
      </c>
      <c r="AF28" s="34">
        <v>187824</v>
      </c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>
        <v>470000</v>
      </c>
      <c r="AS28" s="34"/>
      <c r="AT28" s="34"/>
      <c r="AU28" s="34"/>
      <c r="AV28" s="34"/>
      <c r="AW28" s="34"/>
      <c r="AX28" s="34">
        <f t="shared" si="4"/>
        <v>102913627</v>
      </c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>
        <f t="shared" si="0"/>
        <v>0</v>
      </c>
    </row>
    <row r="29" spans="1:65" ht="74.25" customHeight="1" x14ac:dyDescent="0.95">
      <c r="A29" s="41" t="s">
        <v>22</v>
      </c>
      <c r="B29" s="105" t="s">
        <v>151</v>
      </c>
      <c r="C29" s="106"/>
      <c r="D29" s="57"/>
      <c r="E29" s="57">
        <f>4504110+8363234</f>
        <v>12867344</v>
      </c>
      <c r="F29" s="57">
        <v>96872000</v>
      </c>
      <c r="G29" s="57">
        <v>41670000</v>
      </c>
      <c r="H29" s="57">
        <v>3196100</v>
      </c>
      <c r="I29" s="34">
        <v>10459808</v>
      </c>
      <c r="J29" s="34"/>
      <c r="K29" s="34"/>
      <c r="L29" s="34"/>
      <c r="M29" s="34"/>
      <c r="N29" s="34">
        <v>932065</v>
      </c>
      <c r="O29" s="34"/>
      <c r="P29" s="34">
        <v>313081</v>
      </c>
      <c r="Q29" s="34"/>
      <c r="R29" s="34">
        <f t="shared" si="1"/>
        <v>1040757</v>
      </c>
      <c r="S29" s="34">
        <v>1040757</v>
      </c>
      <c r="T29" s="34"/>
      <c r="U29" s="34">
        <f t="shared" si="2"/>
        <v>5000634</v>
      </c>
      <c r="V29" s="34"/>
      <c r="W29" s="34">
        <v>677815</v>
      </c>
      <c r="X29" s="34">
        <v>322819</v>
      </c>
      <c r="Y29" s="34"/>
      <c r="Z29" s="34"/>
      <c r="AA29" s="34">
        <v>2075362</v>
      </c>
      <c r="AB29" s="34"/>
      <c r="AC29" s="34"/>
      <c r="AD29" s="34">
        <v>1924638</v>
      </c>
      <c r="AE29" s="34">
        <f t="shared" si="6"/>
        <v>140868</v>
      </c>
      <c r="AF29" s="34">
        <v>140868</v>
      </c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>
        <v>1030000</v>
      </c>
      <c r="AS29" s="34"/>
      <c r="AT29" s="34"/>
      <c r="AU29" s="34"/>
      <c r="AV29" s="34"/>
      <c r="AW29" s="34"/>
      <c r="AX29" s="34">
        <f t="shared" si="4"/>
        <v>173522657</v>
      </c>
      <c r="AY29" s="34"/>
      <c r="AZ29" s="34"/>
      <c r="BA29" s="34"/>
      <c r="BB29" s="34"/>
      <c r="BC29" s="34"/>
      <c r="BD29" s="34">
        <f>35400</f>
        <v>35400</v>
      </c>
      <c r="BE29" s="34"/>
      <c r="BF29" s="34"/>
      <c r="BG29" s="34"/>
      <c r="BH29" s="34"/>
      <c r="BI29" s="34"/>
      <c r="BJ29" s="34"/>
      <c r="BK29" s="34"/>
      <c r="BL29" s="34"/>
      <c r="BM29" s="34">
        <f t="shared" si="0"/>
        <v>35400</v>
      </c>
    </row>
    <row r="30" spans="1:65" ht="74.25" x14ac:dyDescent="0.95">
      <c r="A30" s="41" t="s">
        <v>23</v>
      </c>
      <c r="B30" s="105" t="s">
        <v>152</v>
      </c>
      <c r="C30" s="106"/>
      <c r="D30" s="57"/>
      <c r="E30" s="57">
        <f>5803400+10731690</f>
        <v>16535090</v>
      </c>
      <c r="F30" s="57">
        <v>101116100</v>
      </c>
      <c r="G30" s="57">
        <v>41632100</v>
      </c>
      <c r="H30" s="57">
        <v>1756900</v>
      </c>
      <c r="I30" s="34">
        <v>1666192</v>
      </c>
      <c r="J30" s="34"/>
      <c r="K30" s="34"/>
      <c r="L30" s="34"/>
      <c r="M30" s="34"/>
      <c r="N30" s="34">
        <f>1744938+64393</f>
        <v>1809331</v>
      </c>
      <c r="O30" s="34"/>
      <c r="P30" s="34">
        <v>430229</v>
      </c>
      <c r="Q30" s="34"/>
      <c r="R30" s="34">
        <f t="shared" si="1"/>
        <v>0</v>
      </c>
      <c r="S30" s="34"/>
      <c r="T30" s="34"/>
      <c r="U30" s="34">
        <f t="shared" si="2"/>
        <v>338907</v>
      </c>
      <c r="V30" s="34"/>
      <c r="W30" s="34">
        <v>338907</v>
      </c>
      <c r="X30" s="34"/>
      <c r="Y30" s="34"/>
      <c r="Z30" s="34"/>
      <c r="AA30" s="34"/>
      <c r="AB30" s="34"/>
      <c r="AC30" s="34"/>
      <c r="AD30" s="34"/>
      <c r="AE30" s="34">
        <f t="shared" si="6"/>
        <v>93912</v>
      </c>
      <c r="AF30" s="34">
        <v>93912</v>
      </c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>
        <v>2250000</v>
      </c>
      <c r="AS30" s="34"/>
      <c r="AT30" s="34"/>
      <c r="AU30" s="34"/>
      <c r="AV30" s="34"/>
      <c r="AW30" s="34"/>
      <c r="AX30" s="34">
        <f t="shared" si="4"/>
        <v>167628761</v>
      </c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>
        <f t="shared" si="0"/>
        <v>0</v>
      </c>
    </row>
    <row r="31" spans="1:65" ht="74.25" x14ac:dyDescent="0.95">
      <c r="A31" s="41" t="s">
        <v>24</v>
      </c>
      <c r="B31" s="105" t="s">
        <v>153</v>
      </c>
      <c r="C31" s="106"/>
      <c r="D31" s="57"/>
      <c r="E31" s="57"/>
      <c r="F31" s="57">
        <v>57175200</v>
      </c>
      <c r="G31" s="57">
        <v>26121800</v>
      </c>
      <c r="H31" s="57">
        <v>2231200</v>
      </c>
      <c r="I31" s="34">
        <v>1421516</v>
      </c>
      <c r="J31" s="34"/>
      <c r="K31" s="34"/>
      <c r="L31" s="34"/>
      <c r="M31" s="34"/>
      <c r="N31" s="34">
        <v>734915</v>
      </c>
      <c r="O31" s="34"/>
      <c r="P31" s="34">
        <v>227171</v>
      </c>
      <c r="Q31" s="34"/>
      <c r="R31" s="34">
        <f t="shared" si="1"/>
        <v>1040757</v>
      </c>
      <c r="S31" s="34">
        <v>1040757</v>
      </c>
      <c r="T31" s="34"/>
      <c r="U31" s="34">
        <f t="shared" si="2"/>
        <v>0</v>
      </c>
      <c r="V31" s="34"/>
      <c r="W31" s="34"/>
      <c r="X31" s="34"/>
      <c r="Y31" s="34"/>
      <c r="Z31" s="34"/>
      <c r="AA31" s="34"/>
      <c r="AB31" s="34"/>
      <c r="AC31" s="34"/>
      <c r="AD31" s="34"/>
      <c r="AE31" s="34">
        <f t="shared" si="6"/>
        <v>0</v>
      </c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>
        <v>1720000</v>
      </c>
      <c r="AS31" s="34"/>
      <c r="AT31" s="34"/>
      <c r="AU31" s="34"/>
      <c r="AV31" s="34"/>
      <c r="AW31" s="34">
        <v>700000</v>
      </c>
      <c r="AX31" s="34">
        <f t="shared" si="4"/>
        <v>91372559</v>
      </c>
      <c r="AY31" s="34"/>
      <c r="AZ31" s="34"/>
      <c r="BA31" s="34"/>
      <c r="BB31" s="34"/>
      <c r="BC31" s="34"/>
      <c r="BD31" s="34">
        <f>45100</f>
        <v>45100</v>
      </c>
      <c r="BE31" s="34"/>
      <c r="BF31" s="34"/>
      <c r="BG31" s="34"/>
      <c r="BH31" s="58"/>
      <c r="BI31" s="58"/>
      <c r="BJ31" s="58"/>
      <c r="BK31" s="58"/>
      <c r="BL31" s="58"/>
      <c r="BM31" s="34">
        <f t="shared" si="0"/>
        <v>45100</v>
      </c>
    </row>
    <row r="32" spans="1:65" ht="74.25" x14ac:dyDescent="0.95">
      <c r="A32" s="41" t="s">
        <v>25</v>
      </c>
      <c r="B32" s="105" t="s">
        <v>154</v>
      </c>
      <c r="C32" s="106"/>
      <c r="D32" s="57"/>
      <c r="E32" s="57">
        <f>2102190+3912029</f>
        <v>6014219</v>
      </c>
      <c r="F32" s="57">
        <v>61355600</v>
      </c>
      <c r="G32" s="57">
        <v>32753700</v>
      </c>
      <c r="H32" s="57">
        <v>1981600</v>
      </c>
      <c r="I32" s="34">
        <v>3416201</v>
      </c>
      <c r="J32" s="34"/>
      <c r="K32" s="34"/>
      <c r="L32" s="34"/>
      <c r="M32" s="34"/>
      <c r="N32" s="34">
        <f>665975+11475</f>
        <v>677450</v>
      </c>
      <c r="O32" s="34"/>
      <c r="P32" s="34">
        <f>136303-30000-30000</f>
        <v>76303</v>
      </c>
      <c r="Q32" s="34"/>
      <c r="R32" s="34">
        <f t="shared" si="1"/>
        <v>0</v>
      </c>
      <c r="S32" s="34"/>
      <c r="T32" s="34"/>
      <c r="U32" s="34">
        <f t="shared" si="2"/>
        <v>225938</v>
      </c>
      <c r="V32" s="34"/>
      <c r="W32" s="34">
        <v>225938</v>
      </c>
      <c r="X32" s="34"/>
      <c r="Y32" s="34"/>
      <c r="Z32" s="34"/>
      <c r="AA32" s="34"/>
      <c r="AB32" s="34"/>
      <c r="AC32" s="34"/>
      <c r="AD32" s="34"/>
      <c r="AE32" s="34">
        <f t="shared" si="6"/>
        <v>46956</v>
      </c>
      <c r="AF32" s="34">
        <v>46956</v>
      </c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58">
        <v>615000</v>
      </c>
      <c r="AS32" s="58"/>
      <c r="AT32" s="58"/>
      <c r="AU32" s="58"/>
      <c r="AV32" s="58"/>
      <c r="AW32" s="58"/>
      <c r="AX32" s="34">
        <f t="shared" si="4"/>
        <v>107162967</v>
      </c>
      <c r="AY32" s="34"/>
      <c r="AZ32" s="34"/>
      <c r="BA32" s="34"/>
      <c r="BB32" s="34"/>
      <c r="BC32" s="34"/>
      <c r="BD32" s="34">
        <f>15300</f>
        <v>15300</v>
      </c>
      <c r="BE32" s="34"/>
      <c r="BF32" s="34"/>
      <c r="BG32" s="34"/>
      <c r="BH32" s="58"/>
      <c r="BI32" s="58"/>
      <c r="BJ32" s="58"/>
      <c r="BK32" s="58"/>
      <c r="BL32" s="58"/>
      <c r="BM32" s="34">
        <f t="shared" si="0"/>
        <v>15300</v>
      </c>
    </row>
    <row r="33" spans="1:65" ht="74.25" customHeight="1" x14ac:dyDescent="0.95">
      <c r="A33" s="41" t="s">
        <v>26</v>
      </c>
      <c r="B33" s="105" t="s">
        <v>155</v>
      </c>
      <c r="C33" s="106"/>
      <c r="D33" s="57"/>
      <c r="E33" s="57">
        <f>862333</f>
        <v>862333</v>
      </c>
      <c r="F33" s="57">
        <v>56242800</v>
      </c>
      <c r="G33" s="57">
        <v>26966000</v>
      </c>
      <c r="H33" s="57">
        <v>1184400</v>
      </c>
      <c r="I33" s="34">
        <v>2286853</v>
      </c>
      <c r="J33" s="34"/>
      <c r="K33" s="34"/>
      <c r="L33" s="34"/>
      <c r="M33" s="34"/>
      <c r="N33" s="34">
        <v>828661</v>
      </c>
      <c r="O33" s="34"/>
      <c r="P33" s="34">
        <v>165708</v>
      </c>
      <c r="Q33" s="34"/>
      <c r="R33" s="34">
        <f t="shared" si="1"/>
        <v>1040757</v>
      </c>
      <c r="S33" s="34">
        <v>1040757</v>
      </c>
      <c r="T33" s="34"/>
      <c r="U33" s="34">
        <f t="shared" si="2"/>
        <v>0</v>
      </c>
      <c r="V33" s="34"/>
      <c r="W33" s="34"/>
      <c r="X33" s="34"/>
      <c r="Y33" s="34"/>
      <c r="Z33" s="34"/>
      <c r="AA33" s="34"/>
      <c r="AB33" s="34"/>
      <c r="AC33" s="34"/>
      <c r="AD33" s="34"/>
      <c r="AE33" s="34">
        <f t="shared" si="6"/>
        <v>0</v>
      </c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58">
        <v>650000</v>
      </c>
      <c r="AS33" s="58"/>
      <c r="AT33" s="58"/>
      <c r="AU33" s="58"/>
      <c r="AV33" s="58"/>
      <c r="AW33" s="58"/>
      <c r="AX33" s="34">
        <f t="shared" si="4"/>
        <v>90227512</v>
      </c>
      <c r="AY33" s="34"/>
      <c r="AZ33" s="34"/>
      <c r="BA33" s="34">
        <v>1800000</v>
      </c>
      <c r="BB33" s="34"/>
      <c r="BC33" s="34"/>
      <c r="BD33" s="34">
        <f>27200</f>
        <v>27200</v>
      </c>
      <c r="BE33" s="34"/>
      <c r="BF33" s="34"/>
      <c r="BG33" s="34"/>
      <c r="BH33" s="58"/>
      <c r="BI33" s="58"/>
      <c r="BJ33" s="58"/>
      <c r="BK33" s="58"/>
      <c r="BL33" s="58"/>
      <c r="BM33" s="34">
        <f t="shared" si="0"/>
        <v>1827200</v>
      </c>
    </row>
    <row r="34" spans="1:65" ht="74.25" x14ac:dyDescent="0.95">
      <c r="A34" s="41" t="s">
        <v>27</v>
      </c>
      <c r="B34" s="105" t="s">
        <v>156</v>
      </c>
      <c r="C34" s="106"/>
      <c r="D34" s="57"/>
      <c r="E34" s="57">
        <f>368330+668352</f>
        <v>1036682</v>
      </c>
      <c r="F34" s="57">
        <v>36416700</v>
      </c>
      <c r="G34" s="57">
        <v>14243500</v>
      </c>
      <c r="H34" s="57">
        <v>4540400</v>
      </c>
      <c r="I34" s="34">
        <v>848656</v>
      </c>
      <c r="J34" s="34"/>
      <c r="K34" s="34"/>
      <c r="L34" s="34"/>
      <c r="M34" s="34"/>
      <c r="N34" s="34"/>
      <c r="O34" s="34"/>
      <c r="P34" s="34"/>
      <c r="Q34" s="34"/>
      <c r="R34" s="34">
        <f t="shared" si="1"/>
        <v>0</v>
      </c>
      <c r="S34" s="34"/>
      <c r="T34" s="34"/>
      <c r="U34" s="34">
        <f t="shared" si="2"/>
        <v>0</v>
      </c>
      <c r="V34" s="34"/>
      <c r="W34" s="34"/>
      <c r="X34" s="34"/>
      <c r="Y34" s="34"/>
      <c r="Z34" s="34"/>
      <c r="AA34" s="34"/>
      <c r="AB34" s="34"/>
      <c r="AC34" s="34"/>
      <c r="AD34" s="34"/>
      <c r="AE34" s="34">
        <f t="shared" si="6"/>
        <v>0</v>
      </c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8">
        <v>115000</v>
      </c>
      <c r="AS34" s="58"/>
      <c r="AT34" s="58"/>
      <c r="AU34" s="58"/>
      <c r="AV34" s="58"/>
      <c r="AW34" s="58"/>
      <c r="AX34" s="34">
        <f t="shared" si="4"/>
        <v>57200938</v>
      </c>
      <c r="AY34" s="34"/>
      <c r="AZ34" s="34"/>
      <c r="BA34" s="34"/>
      <c r="BB34" s="34"/>
      <c r="BC34" s="34"/>
      <c r="BD34" s="34">
        <f>3600</f>
        <v>3600</v>
      </c>
      <c r="BE34" s="34"/>
      <c r="BF34" s="34"/>
      <c r="BG34" s="34"/>
      <c r="BH34" s="58"/>
      <c r="BI34" s="58"/>
      <c r="BJ34" s="58"/>
      <c r="BK34" s="58"/>
      <c r="BL34" s="58"/>
      <c r="BM34" s="34">
        <f t="shared" si="0"/>
        <v>3600</v>
      </c>
    </row>
    <row r="35" spans="1:65" ht="74.25" x14ac:dyDescent="0.95">
      <c r="A35" s="41" t="s">
        <v>28</v>
      </c>
      <c r="B35" s="105" t="s">
        <v>157</v>
      </c>
      <c r="C35" s="106"/>
      <c r="D35" s="57"/>
      <c r="E35" s="57">
        <f>2212940+3982901</f>
        <v>6195841</v>
      </c>
      <c r="F35" s="57">
        <v>58869900</v>
      </c>
      <c r="G35" s="57">
        <v>33163199.999999996</v>
      </c>
      <c r="H35" s="57">
        <v>989200</v>
      </c>
      <c r="I35" s="34">
        <v>2451283</v>
      </c>
      <c r="J35" s="34"/>
      <c r="K35" s="34"/>
      <c r="L35" s="34"/>
      <c r="M35" s="34"/>
      <c r="N35" s="34">
        <v>693938</v>
      </c>
      <c r="O35" s="34"/>
      <c r="P35" s="34">
        <v>217073</v>
      </c>
      <c r="Q35" s="34"/>
      <c r="R35" s="34">
        <f t="shared" si="1"/>
        <v>1040757</v>
      </c>
      <c r="S35" s="34">
        <v>1040757</v>
      </c>
      <c r="T35" s="34"/>
      <c r="U35" s="34">
        <f t="shared" si="2"/>
        <v>225938</v>
      </c>
      <c r="V35" s="34"/>
      <c r="W35" s="34">
        <v>225938</v>
      </c>
      <c r="X35" s="34"/>
      <c r="Y35" s="34"/>
      <c r="Z35" s="34"/>
      <c r="AA35" s="34"/>
      <c r="AB35" s="34"/>
      <c r="AC35" s="34"/>
      <c r="AD35" s="34"/>
      <c r="AE35" s="34">
        <f t="shared" si="6"/>
        <v>164346</v>
      </c>
      <c r="AF35" s="34">
        <v>164346</v>
      </c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58">
        <v>730000</v>
      </c>
      <c r="AS35" s="58"/>
      <c r="AT35" s="58"/>
      <c r="AU35" s="58"/>
      <c r="AV35" s="58"/>
      <c r="AW35" s="58"/>
      <c r="AX35" s="34">
        <f t="shared" si="4"/>
        <v>104741476</v>
      </c>
      <c r="AY35" s="34"/>
      <c r="AZ35" s="34"/>
      <c r="BA35" s="34"/>
      <c r="BB35" s="34"/>
      <c r="BC35" s="34"/>
      <c r="BD35" s="34"/>
      <c r="BE35" s="34"/>
      <c r="BF35" s="34"/>
      <c r="BG35" s="34"/>
      <c r="BH35" s="58"/>
      <c r="BI35" s="58"/>
      <c r="BJ35" s="58"/>
      <c r="BK35" s="58"/>
      <c r="BL35" s="58"/>
      <c r="BM35" s="34">
        <f t="shared" si="0"/>
        <v>0</v>
      </c>
    </row>
    <row r="36" spans="1:65" ht="74.25" x14ac:dyDescent="0.95">
      <c r="A36" s="41" t="s">
        <v>29</v>
      </c>
      <c r="B36" s="105" t="s">
        <v>158</v>
      </c>
      <c r="C36" s="106"/>
      <c r="D36" s="57"/>
      <c r="E36" s="57"/>
      <c r="F36" s="57">
        <v>87416300</v>
      </c>
      <c r="G36" s="57">
        <v>51526400</v>
      </c>
      <c r="H36" s="57">
        <v>1425900</v>
      </c>
      <c r="I36" s="34">
        <v>3084878</v>
      </c>
      <c r="J36" s="34"/>
      <c r="K36" s="34"/>
      <c r="L36" s="34"/>
      <c r="M36" s="34"/>
      <c r="N36" s="34">
        <v>1081379</v>
      </c>
      <c r="O36" s="34"/>
      <c r="P36" s="34">
        <v>460078</v>
      </c>
      <c r="Q36" s="34"/>
      <c r="R36" s="34">
        <f t="shared" si="1"/>
        <v>1040757</v>
      </c>
      <c r="S36" s="34">
        <v>1040757</v>
      </c>
      <c r="T36" s="34"/>
      <c r="U36" s="34">
        <f t="shared" si="2"/>
        <v>564846</v>
      </c>
      <c r="V36" s="34"/>
      <c r="W36" s="34">
        <v>564846</v>
      </c>
      <c r="X36" s="34"/>
      <c r="Y36" s="34"/>
      <c r="Z36" s="34"/>
      <c r="AA36" s="34"/>
      <c r="AB36" s="34"/>
      <c r="AC36" s="34"/>
      <c r="AD36" s="34"/>
      <c r="AE36" s="34">
        <f t="shared" si="6"/>
        <v>46956</v>
      </c>
      <c r="AF36" s="34">
        <f>164346-117390</f>
        <v>46956</v>
      </c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58">
        <v>1600000</v>
      </c>
      <c r="AS36" s="58"/>
      <c r="AT36" s="58"/>
      <c r="AU36" s="58"/>
      <c r="AV36" s="58"/>
      <c r="AW36" s="58"/>
      <c r="AX36" s="34">
        <f t="shared" si="4"/>
        <v>148247494</v>
      </c>
      <c r="AY36" s="34"/>
      <c r="AZ36" s="34"/>
      <c r="BA36" s="34"/>
      <c r="BB36" s="34"/>
      <c r="BC36" s="34"/>
      <c r="BD36" s="34"/>
      <c r="BE36" s="34"/>
      <c r="BF36" s="34"/>
      <c r="BG36" s="34"/>
      <c r="BH36" s="58"/>
      <c r="BI36" s="58"/>
      <c r="BJ36" s="58"/>
      <c r="BK36" s="58"/>
      <c r="BL36" s="58"/>
      <c r="BM36" s="34">
        <f t="shared" si="0"/>
        <v>0</v>
      </c>
    </row>
    <row r="37" spans="1:65" ht="74.25" customHeight="1" x14ac:dyDescent="0.95">
      <c r="A37" s="41" t="s">
        <v>30</v>
      </c>
      <c r="B37" s="105" t="s">
        <v>159</v>
      </c>
      <c r="C37" s="106"/>
      <c r="D37" s="57"/>
      <c r="E37" s="57"/>
      <c r="F37" s="57">
        <v>35623500</v>
      </c>
      <c r="G37" s="57">
        <v>15712100</v>
      </c>
      <c r="H37" s="57">
        <v>2162800</v>
      </c>
      <c r="I37" s="34">
        <v>882577</v>
      </c>
      <c r="J37" s="34"/>
      <c r="K37" s="34"/>
      <c r="L37" s="34"/>
      <c r="M37" s="34"/>
      <c r="N37" s="34">
        <f>644753+84088</f>
        <v>728841</v>
      </c>
      <c r="O37" s="34"/>
      <c r="P37" s="34"/>
      <c r="Q37" s="34"/>
      <c r="R37" s="34">
        <f t="shared" si="1"/>
        <v>0</v>
      </c>
      <c r="S37" s="34"/>
      <c r="T37" s="34"/>
      <c r="U37" s="34">
        <f t="shared" si="2"/>
        <v>0</v>
      </c>
      <c r="V37" s="34"/>
      <c r="W37" s="34"/>
      <c r="X37" s="34"/>
      <c r="Y37" s="34"/>
      <c r="Z37" s="34"/>
      <c r="AA37" s="34"/>
      <c r="AB37" s="34"/>
      <c r="AC37" s="34"/>
      <c r="AD37" s="34"/>
      <c r="AE37" s="34">
        <f t="shared" si="6"/>
        <v>0</v>
      </c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58">
        <v>360000</v>
      </c>
      <c r="AS37" s="58"/>
      <c r="AT37" s="58"/>
      <c r="AU37" s="58"/>
      <c r="AV37" s="58"/>
      <c r="AW37" s="58"/>
      <c r="AX37" s="34">
        <f t="shared" si="4"/>
        <v>55469818</v>
      </c>
      <c r="AY37" s="34"/>
      <c r="AZ37" s="34"/>
      <c r="BA37" s="34"/>
      <c r="BB37" s="34"/>
      <c r="BC37" s="34"/>
      <c r="BD37" s="34">
        <v>3300</v>
      </c>
      <c r="BE37" s="34"/>
      <c r="BF37" s="34"/>
      <c r="BG37" s="34"/>
      <c r="BH37" s="58"/>
      <c r="BI37" s="58"/>
      <c r="BJ37" s="58"/>
      <c r="BK37" s="58"/>
      <c r="BL37" s="58"/>
      <c r="BM37" s="34">
        <f t="shared" si="0"/>
        <v>3300</v>
      </c>
    </row>
    <row r="38" spans="1:65" ht="74.25" x14ac:dyDescent="0.95">
      <c r="A38" s="41" t="s">
        <v>31</v>
      </c>
      <c r="B38" s="105" t="s">
        <v>160</v>
      </c>
      <c r="C38" s="106"/>
      <c r="D38" s="57"/>
      <c r="E38" s="57">
        <f>1496890+2752363</f>
        <v>4249253</v>
      </c>
      <c r="F38" s="57">
        <v>31893100</v>
      </c>
      <c r="G38" s="57">
        <v>18340500</v>
      </c>
      <c r="H38" s="57">
        <v>1542800</v>
      </c>
      <c r="I38" s="34">
        <v>2049180</v>
      </c>
      <c r="J38" s="34"/>
      <c r="K38" s="34"/>
      <c r="L38" s="34"/>
      <c r="M38" s="34"/>
      <c r="N38" s="34">
        <f>21921-21921</f>
        <v>0</v>
      </c>
      <c r="O38" s="34"/>
      <c r="P38" s="34">
        <v>143887</v>
      </c>
      <c r="Q38" s="34"/>
      <c r="R38" s="34">
        <f t="shared" si="1"/>
        <v>1040757</v>
      </c>
      <c r="S38" s="34">
        <v>1040757</v>
      </c>
      <c r="T38" s="34"/>
      <c r="U38" s="34">
        <f t="shared" si="2"/>
        <v>451876</v>
      </c>
      <c r="V38" s="34"/>
      <c r="W38" s="34">
        <v>451876</v>
      </c>
      <c r="X38" s="34"/>
      <c r="Y38" s="34"/>
      <c r="Z38" s="34"/>
      <c r="AA38" s="34"/>
      <c r="AB38" s="34"/>
      <c r="AC38" s="34"/>
      <c r="AD38" s="34"/>
      <c r="AE38" s="34">
        <f t="shared" si="6"/>
        <v>164346</v>
      </c>
      <c r="AF38" s="34">
        <v>164346</v>
      </c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58">
        <v>250000</v>
      </c>
      <c r="AS38" s="58"/>
      <c r="AT38" s="58"/>
      <c r="AU38" s="58"/>
      <c r="AV38" s="58"/>
      <c r="AW38" s="58"/>
      <c r="AX38" s="34">
        <f t="shared" si="4"/>
        <v>60125699</v>
      </c>
      <c r="AY38" s="34"/>
      <c r="AZ38" s="34"/>
      <c r="BA38" s="34"/>
      <c r="BB38" s="34"/>
      <c r="BC38" s="34"/>
      <c r="BD38" s="34">
        <v>16500</v>
      </c>
      <c r="BE38" s="34"/>
      <c r="BF38" s="34"/>
      <c r="BG38" s="34"/>
      <c r="BH38" s="58"/>
      <c r="BI38" s="58"/>
      <c r="BJ38" s="58"/>
      <c r="BK38" s="58"/>
      <c r="BL38" s="58"/>
      <c r="BM38" s="34">
        <f t="shared" si="0"/>
        <v>16500</v>
      </c>
    </row>
    <row r="39" spans="1:65" ht="74.25" x14ac:dyDescent="0.95">
      <c r="A39" s="41" t="s">
        <v>32</v>
      </c>
      <c r="B39" s="105" t="s">
        <v>161</v>
      </c>
      <c r="C39" s="106"/>
      <c r="D39" s="57"/>
      <c r="E39" s="57">
        <f>2681360+4958782</f>
        <v>7640142</v>
      </c>
      <c r="F39" s="57">
        <v>34667300</v>
      </c>
      <c r="G39" s="57">
        <v>11827500</v>
      </c>
      <c r="H39" s="57">
        <v>3771900</v>
      </c>
      <c r="I39" s="34">
        <v>2633184</v>
      </c>
      <c r="J39" s="34"/>
      <c r="K39" s="34"/>
      <c r="L39" s="34"/>
      <c r="M39" s="34"/>
      <c r="N39" s="34">
        <f>834158+75182</f>
        <v>909340</v>
      </c>
      <c r="O39" s="34"/>
      <c r="P39" s="34">
        <v>102508</v>
      </c>
      <c r="Q39" s="34"/>
      <c r="R39" s="34">
        <f t="shared" si="1"/>
        <v>0</v>
      </c>
      <c r="S39" s="34"/>
      <c r="T39" s="34"/>
      <c r="U39" s="34">
        <f t="shared" si="2"/>
        <v>4225938</v>
      </c>
      <c r="V39" s="34"/>
      <c r="W39" s="34">
        <v>225938</v>
      </c>
      <c r="X39" s="34"/>
      <c r="Y39" s="34"/>
      <c r="Z39" s="34"/>
      <c r="AA39" s="34">
        <v>1037682</v>
      </c>
      <c r="AB39" s="34"/>
      <c r="AC39" s="34"/>
      <c r="AD39" s="34">
        <v>2962318</v>
      </c>
      <c r="AE39" s="34">
        <f t="shared" si="6"/>
        <v>211302</v>
      </c>
      <c r="AF39" s="34">
        <v>211302</v>
      </c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58">
        <v>100000</v>
      </c>
      <c r="AS39" s="58"/>
      <c r="AT39" s="58"/>
      <c r="AU39" s="58"/>
      <c r="AV39" s="58"/>
      <c r="AW39" s="58"/>
      <c r="AX39" s="34">
        <f t="shared" si="4"/>
        <v>66089114</v>
      </c>
      <c r="AY39" s="34"/>
      <c r="AZ39" s="34"/>
      <c r="BA39" s="34"/>
      <c r="BB39" s="34"/>
      <c r="BC39" s="34"/>
      <c r="BD39" s="34">
        <f>16900</f>
        <v>16900</v>
      </c>
      <c r="BE39" s="34"/>
      <c r="BF39" s="34"/>
      <c r="BG39" s="34"/>
      <c r="BH39" s="58"/>
      <c r="BI39" s="58"/>
      <c r="BJ39" s="58"/>
      <c r="BK39" s="58"/>
      <c r="BL39" s="58"/>
      <c r="BM39" s="34">
        <f t="shared" si="0"/>
        <v>16900</v>
      </c>
    </row>
    <row r="40" spans="1:65" ht="74.25" x14ac:dyDescent="0.95">
      <c r="A40" s="41" t="s">
        <v>33</v>
      </c>
      <c r="B40" s="105" t="s">
        <v>162</v>
      </c>
      <c r="C40" s="106"/>
      <c r="D40" s="57"/>
      <c r="E40" s="57">
        <f>1584590+2998490</f>
        <v>4583080</v>
      </c>
      <c r="F40" s="57">
        <v>44732100</v>
      </c>
      <c r="G40" s="57">
        <v>32587000</v>
      </c>
      <c r="H40" s="57">
        <v>830600</v>
      </c>
      <c r="I40" s="34">
        <v>2900185</v>
      </c>
      <c r="J40" s="34"/>
      <c r="K40" s="34"/>
      <c r="L40" s="34"/>
      <c r="M40" s="34"/>
      <c r="N40" s="34">
        <v>979214</v>
      </c>
      <c r="O40" s="34"/>
      <c r="P40" s="34">
        <v>196002</v>
      </c>
      <c r="Q40" s="34"/>
      <c r="R40" s="34">
        <f t="shared" si="1"/>
        <v>0</v>
      </c>
      <c r="S40" s="34"/>
      <c r="T40" s="34"/>
      <c r="U40" s="34">
        <f t="shared" si="2"/>
        <v>506103</v>
      </c>
      <c r="V40" s="34"/>
      <c r="W40" s="34">
        <v>112969</v>
      </c>
      <c r="X40" s="34"/>
      <c r="Y40" s="34">
        <f>393134</f>
        <v>393134</v>
      </c>
      <c r="Z40" s="34"/>
      <c r="AA40" s="34"/>
      <c r="AB40" s="34"/>
      <c r="AC40" s="34"/>
      <c r="AD40" s="34"/>
      <c r="AE40" s="34">
        <f t="shared" si="6"/>
        <v>23478</v>
      </c>
      <c r="AF40" s="34">
        <v>23478</v>
      </c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58">
        <v>300000</v>
      </c>
      <c r="AS40" s="58"/>
      <c r="AT40" s="58"/>
      <c r="AU40" s="58"/>
      <c r="AV40" s="58"/>
      <c r="AW40" s="58"/>
      <c r="AX40" s="34">
        <f t="shared" si="4"/>
        <v>87637762</v>
      </c>
      <c r="AY40" s="34"/>
      <c r="AZ40" s="34"/>
      <c r="BA40" s="34"/>
      <c r="BB40" s="34"/>
      <c r="BC40" s="34"/>
      <c r="BD40" s="34">
        <f>8900</f>
        <v>8900</v>
      </c>
      <c r="BE40" s="34"/>
      <c r="BF40" s="34"/>
      <c r="BG40" s="34"/>
      <c r="BH40" s="58"/>
      <c r="BI40" s="58"/>
      <c r="BJ40" s="58"/>
      <c r="BK40" s="58"/>
      <c r="BL40" s="58"/>
      <c r="BM40" s="34">
        <f t="shared" si="0"/>
        <v>8900</v>
      </c>
    </row>
    <row r="41" spans="1:65" ht="74.25" customHeight="1" x14ac:dyDescent="0.95">
      <c r="A41" s="41" t="s">
        <v>34</v>
      </c>
      <c r="B41" s="105" t="s">
        <v>163</v>
      </c>
      <c r="C41" s="106"/>
      <c r="D41" s="57"/>
      <c r="E41" s="57">
        <f>4028840+7471014</f>
        <v>11499854</v>
      </c>
      <c r="F41" s="57">
        <v>84368500</v>
      </c>
      <c r="G41" s="57">
        <v>29931200</v>
      </c>
      <c r="H41" s="57">
        <v>3257400</v>
      </c>
      <c r="I41" s="34">
        <v>9360085</v>
      </c>
      <c r="J41" s="34"/>
      <c r="K41" s="34"/>
      <c r="L41" s="34"/>
      <c r="M41" s="34"/>
      <c r="N41" s="34">
        <v>736498</v>
      </c>
      <c r="O41" s="34"/>
      <c r="P41" s="34">
        <v>184862</v>
      </c>
      <c r="Q41" s="34"/>
      <c r="R41" s="34">
        <f t="shared" si="1"/>
        <v>1040757</v>
      </c>
      <c r="S41" s="34">
        <v>1040757</v>
      </c>
      <c r="T41" s="34"/>
      <c r="U41" s="34">
        <f t="shared" si="2"/>
        <v>338907</v>
      </c>
      <c r="V41" s="34"/>
      <c r="W41" s="34">
        <v>338907</v>
      </c>
      <c r="X41" s="34"/>
      <c r="Y41" s="34"/>
      <c r="Z41" s="34"/>
      <c r="AA41" s="34"/>
      <c r="AB41" s="34"/>
      <c r="AC41" s="34"/>
      <c r="AD41" s="34"/>
      <c r="AE41" s="34">
        <f t="shared" si="6"/>
        <v>70434</v>
      </c>
      <c r="AF41" s="34">
        <v>70434</v>
      </c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58">
        <v>650000</v>
      </c>
      <c r="AS41" s="58"/>
      <c r="AT41" s="58"/>
      <c r="AU41" s="58"/>
      <c r="AV41" s="58"/>
      <c r="AW41" s="58"/>
      <c r="AX41" s="34">
        <f t="shared" si="4"/>
        <v>141438497</v>
      </c>
      <c r="AY41" s="34"/>
      <c r="AZ41" s="34"/>
      <c r="BA41" s="34"/>
      <c r="BB41" s="34"/>
      <c r="BC41" s="34"/>
      <c r="BD41" s="34"/>
      <c r="BE41" s="34"/>
      <c r="BF41" s="34"/>
      <c r="BG41" s="34"/>
      <c r="BH41" s="58"/>
      <c r="BI41" s="58"/>
      <c r="BJ41" s="58"/>
      <c r="BK41" s="58"/>
      <c r="BL41" s="58"/>
      <c r="BM41" s="34">
        <f t="shared" si="0"/>
        <v>0</v>
      </c>
    </row>
    <row r="42" spans="1:65" ht="74.25" x14ac:dyDescent="0.95">
      <c r="A42" s="41" t="s">
        <v>35</v>
      </c>
      <c r="B42" s="105" t="s">
        <v>164</v>
      </c>
      <c r="C42" s="106"/>
      <c r="D42" s="57"/>
      <c r="E42" s="57">
        <f>1050690+2024478</f>
        <v>3075168</v>
      </c>
      <c r="F42" s="57">
        <v>57650700</v>
      </c>
      <c r="G42" s="57">
        <v>25970300</v>
      </c>
      <c r="H42" s="57">
        <v>1220000</v>
      </c>
      <c r="I42" s="34">
        <v>2082943</v>
      </c>
      <c r="J42" s="34"/>
      <c r="K42" s="34"/>
      <c r="L42" s="34"/>
      <c r="M42" s="34"/>
      <c r="N42" s="34">
        <f>1299234+148139</f>
        <v>1447373</v>
      </c>
      <c r="O42" s="34"/>
      <c r="P42" s="34">
        <v>188321</v>
      </c>
      <c r="Q42" s="34"/>
      <c r="R42" s="34">
        <f t="shared" si="1"/>
        <v>0</v>
      </c>
      <c r="S42" s="34"/>
      <c r="T42" s="34"/>
      <c r="U42" s="34">
        <f t="shared" si="2"/>
        <v>0</v>
      </c>
      <c r="V42" s="34"/>
      <c r="W42" s="34"/>
      <c r="X42" s="34"/>
      <c r="Y42" s="34"/>
      <c r="Z42" s="34"/>
      <c r="AA42" s="34"/>
      <c r="AB42" s="34"/>
      <c r="AC42" s="34"/>
      <c r="AD42" s="34"/>
      <c r="AE42" s="34">
        <f t="shared" si="6"/>
        <v>0</v>
      </c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58">
        <v>1380000</v>
      </c>
      <c r="AS42" s="58"/>
      <c r="AT42" s="58"/>
      <c r="AU42" s="58"/>
      <c r="AV42" s="58"/>
      <c r="AW42" s="58"/>
      <c r="AX42" s="34">
        <f t="shared" si="4"/>
        <v>93014805</v>
      </c>
      <c r="AY42" s="34"/>
      <c r="AZ42" s="34"/>
      <c r="BA42" s="34"/>
      <c r="BB42" s="34"/>
      <c r="BC42" s="34"/>
      <c r="BD42" s="34"/>
      <c r="BE42" s="34"/>
      <c r="BF42" s="34"/>
      <c r="BG42" s="34"/>
      <c r="BH42" s="58"/>
      <c r="BI42" s="58"/>
      <c r="BJ42" s="58"/>
      <c r="BK42" s="58"/>
      <c r="BL42" s="58"/>
      <c r="BM42" s="34">
        <f t="shared" si="0"/>
        <v>0</v>
      </c>
    </row>
    <row r="43" spans="1:65" ht="74.25" x14ac:dyDescent="0.95">
      <c r="A43" s="41" t="s">
        <v>36</v>
      </c>
      <c r="B43" s="105" t="s">
        <v>165</v>
      </c>
      <c r="C43" s="106"/>
      <c r="D43" s="57"/>
      <c r="E43" s="57">
        <f>2031970+3769937</f>
        <v>5801907</v>
      </c>
      <c r="F43" s="57">
        <v>67493400</v>
      </c>
      <c r="G43" s="57">
        <v>27232100</v>
      </c>
      <c r="H43" s="57">
        <v>1675000</v>
      </c>
      <c r="I43" s="34">
        <v>2156025</v>
      </c>
      <c r="J43" s="34"/>
      <c r="K43" s="34"/>
      <c r="L43" s="34"/>
      <c r="M43" s="34"/>
      <c r="N43" s="34">
        <f>770974+27744</f>
        <v>798718</v>
      </c>
      <c r="O43" s="34"/>
      <c r="P43" s="34"/>
      <c r="Q43" s="34"/>
      <c r="R43" s="34">
        <f t="shared" si="1"/>
        <v>0</v>
      </c>
      <c r="S43" s="34"/>
      <c r="T43" s="34"/>
      <c r="U43" s="34">
        <f t="shared" si="2"/>
        <v>845009</v>
      </c>
      <c r="V43" s="34"/>
      <c r="W43" s="34">
        <v>451876</v>
      </c>
      <c r="X43" s="34"/>
      <c r="Y43" s="34">
        <v>393133</v>
      </c>
      <c r="Z43" s="34"/>
      <c r="AA43" s="34"/>
      <c r="AB43" s="34"/>
      <c r="AC43" s="34"/>
      <c r="AD43" s="34"/>
      <c r="AE43" s="34">
        <f t="shared" si="6"/>
        <v>93912</v>
      </c>
      <c r="AF43" s="34">
        <v>93912</v>
      </c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8">
        <v>545000</v>
      </c>
      <c r="AS43" s="58"/>
      <c r="AT43" s="58"/>
      <c r="AU43" s="58"/>
      <c r="AV43" s="58"/>
      <c r="AW43" s="58">
        <f>500000</f>
        <v>500000</v>
      </c>
      <c r="AX43" s="34">
        <f t="shared" si="4"/>
        <v>107141071</v>
      </c>
      <c r="AY43" s="34"/>
      <c r="AZ43" s="34"/>
      <c r="BA43" s="34"/>
      <c r="BB43" s="34"/>
      <c r="BC43" s="34"/>
      <c r="BD43" s="34">
        <f>15900</f>
        <v>15900</v>
      </c>
      <c r="BE43" s="34"/>
      <c r="BF43" s="34"/>
      <c r="BG43" s="34"/>
      <c r="BH43" s="58"/>
      <c r="BI43" s="58"/>
      <c r="BJ43" s="58"/>
      <c r="BK43" s="58"/>
      <c r="BL43" s="58"/>
      <c r="BM43" s="34">
        <f t="shared" si="0"/>
        <v>15900</v>
      </c>
    </row>
    <row r="44" spans="1:65" ht="74.25" x14ac:dyDescent="0.95">
      <c r="A44" s="41" t="s">
        <v>37</v>
      </c>
      <c r="B44" s="105" t="s">
        <v>166</v>
      </c>
      <c r="C44" s="106"/>
      <c r="D44" s="57"/>
      <c r="E44" s="57">
        <f>465510+844698</f>
        <v>1310208</v>
      </c>
      <c r="F44" s="57">
        <v>41389300</v>
      </c>
      <c r="G44" s="57">
        <v>18855100</v>
      </c>
      <c r="H44" s="57">
        <v>2022600</v>
      </c>
      <c r="I44" s="34">
        <v>2396400</v>
      </c>
      <c r="J44" s="34"/>
      <c r="K44" s="34"/>
      <c r="L44" s="34"/>
      <c r="M44" s="34"/>
      <c r="N44" s="34">
        <f>13529-13529</f>
        <v>0</v>
      </c>
      <c r="O44" s="34"/>
      <c r="P44" s="34">
        <v>117857</v>
      </c>
      <c r="Q44" s="34"/>
      <c r="R44" s="34">
        <f t="shared" si="1"/>
        <v>0</v>
      </c>
      <c r="S44" s="34"/>
      <c r="T44" s="34"/>
      <c r="U44" s="34">
        <f t="shared" si="2"/>
        <v>424400</v>
      </c>
      <c r="V44" s="34">
        <v>424400</v>
      </c>
      <c r="W44" s="34"/>
      <c r="X44" s="34"/>
      <c r="Y44" s="34"/>
      <c r="Z44" s="34"/>
      <c r="AA44" s="34"/>
      <c r="AB44" s="34"/>
      <c r="AC44" s="34"/>
      <c r="AD44" s="34"/>
      <c r="AE44" s="34">
        <f t="shared" si="6"/>
        <v>0</v>
      </c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58">
        <v>381000</v>
      </c>
      <c r="AS44" s="58"/>
      <c r="AT44" s="58"/>
      <c r="AU44" s="58"/>
      <c r="AV44" s="58"/>
      <c r="AW44" s="58"/>
      <c r="AX44" s="34">
        <f t="shared" si="4"/>
        <v>66896865</v>
      </c>
      <c r="AY44" s="34"/>
      <c r="AZ44" s="34"/>
      <c r="BA44" s="34"/>
      <c r="BB44" s="34"/>
      <c r="BC44" s="34"/>
      <c r="BD44" s="34">
        <f>6700</f>
        <v>6700</v>
      </c>
      <c r="BE44" s="34"/>
      <c r="BF44" s="34"/>
      <c r="BG44" s="34"/>
      <c r="BH44" s="58"/>
      <c r="BI44" s="58"/>
      <c r="BJ44" s="58"/>
      <c r="BK44" s="58"/>
      <c r="BL44" s="58"/>
      <c r="BM44" s="34">
        <f t="shared" si="0"/>
        <v>6700</v>
      </c>
    </row>
    <row r="45" spans="1:65" ht="74.25" customHeight="1" x14ac:dyDescent="0.95">
      <c r="A45" s="41" t="s">
        <v>38</v>
      </c>
      <c r="B45" s="105" t="s">
        <v>167</v>
      </c>
      <c r="C45" s="106"/>
      <c r="D45" s="57"/>
      <c r="E45" s="57">
        <f>157440+72302</f>
        <v>229742</v>
      </c>
      <c r="F45" s="57">
        <v>52629700</v>
      </c>
      <c r="G45" s="57">
        <v>26339700</v>
      </c>
      <c r="H45" s="57">
        <v>1883000</v>
      </c>
      <c r="I45" s="34">
        <v>5051899</v>
      </c>
      <c r="J45" s="34"/>
      <c r="K45" s="34"/>
      <c r="L45" s="34"/>
      <c r="M45" s="34"/>
      <c r="N45" s="34"/>
      <c r="O45" s="34"/>
      <c r="P45" s="34"/>
      <c r="Q45" s="34"/>
      <c r="R45" s="34">
        <f t="shared" si="1"/>
        <v>0</v>
      </c>
      <c r="S45" s="34"/>
      <c r="T45" s="34"/>
      <c r="U45" s="34">
        <f t="shared" si="2"/>
        <v>670300</v>
      </c>
      <c r="V45" s="34">
        <v>670300</v>
      </c>
      <c r="W45" s="34"/>
      <c r="X45" s="34"/>
      <c r="Y45" s="34"/>
      <c r="Z45" s="34"/>
      <c r="AA45" s="34"/>
      <c r="AB45" s="34"/>
      <c r="AC45" s="34"/>
      <c r="AD45" s="34"/>
      <c r="AE45" s="34">
        <f t="shared" si="6"/>
        <v>0</v>
      </c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58">
        <v>800000</v>
      </c>
      <c r="AS45" s="58"/>
      <c r="AT45" s="58"/>
      <c r="AU45" s="58"/>
      <c r="AV45" s="58"/>
      <c r="AW45" s="58"/>
      <c r="AX45" s="34">
        <f t="shared" si="4"/>
        <v>87604341</v>
      </c>
      <c r="AY45" s="34"/>
      <c r="AZ45" s="34"/>
      <c r="BA45" s="34"/>
      <c r="BB45" s="34"/>
      <c r="BC45" s="34"/>
      <c r="BD45" s="34"/>
      <c r="BE45" s="34"/>
      <c r="BF45" s="34"/>
      <c r="BG45" s="34"/>
      <c r="BH45" s="58"/>
      <c r="BI45" s="58"/>
      <c r="BJ45" s="58"/>
      <c r="BK45" s="58"/>
      <c r="BL45" s="58"/>
      <c r="BM45" s="34">
        <f t="shared" ref="BM45:BM76" si="7">SUM(AY45:BL45)</f>
        <v>0</v>
      </c>
    </row>
    <row r="46" spans="1:65" ht="74.25" x14ac:dyDescent="0.95">
      <c r="A46" s="41" t="s">
        <v>39</v>
      </c>
      <c r="B46" s="105" t="s">
        <v>168</v>
      </c>
      <c r="C46" s="106"/>
      <c r="D46" s="57"/>
      <c r="E46" s="57">
        <f>137030+248648</f>
        <v>385678</v>
      </c>
      <c r="F46" s="57">
        <v>42613000</v>
      </c>
      <c r="G46" s="57">
        <v>25580000</v>
      </c>
      <c r="H46" s="57">
        <v>1205900</v>
      </c>
      <c r="I46" s="34">
        <v>2001512</v>
      </c>
      <c r="J46" s="34"/>
      <c r="K46" s="34"/>
      <c r="L46" s="34"/>
      <c r="M46" s="34"/>
      <c r="N46" s="34"/>
      <c r="O46" s="34"/>
      <c r="P46" s="34"/>
      <c r="Q46" s="34"/>
      <c r="R46" s="34">
        <f t="shared" si="1"/>
        <v>0</v>
      </c>
      <c r="S46" s="34"/>
      <c r="T46" s="34"/>
      <c r="U46" s="34">
        <f t="shared" si="2"/>
        <v>0</v>
      </c>
      <c r="V46" s="34"/>
      <c r="W46" s="34"/>
      <c r="X46" s="34"/>
      <c r="Y46" s="34"/>
      <c r="Z46" s="34"/>
      <c r="AA46" s="34"/>
      <c r="AB46" s="34"/>
      <c r="AC46" s="34"/>
      <c r="AD46" s="34"/>
      <c r="AE46" s="34">
        <f t="shared" si="6"/>
        <v>0</v>
      </c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58">
        <v>465000</v>
      </c>
      <c r="AS46" s="58"/>
      <c r="AT46" s="58"/>
      <c r="AU46" s="58"/>
      <c r="AV46" s="58"/>
      <c r="AW46" s="58"/>
      <c r="AX46" s="34">
        <f t="shared" si="4"/>
        <v>72251090</v>
      </c>
      <c r="AY46" s="34"/>
      <c r="AZ46" s="34"/>
      <c r="BA46" s="34"/>
      <c r="BB46" s="34"/>
      <c r="BC46" s="34"/>
      <c r="BD46" s="34">
        <v>2600</v>
      </c>
      <c r="BE46" s="34"/>
      <c r="BF46" s="34"/>
      <c r="BG46" s="34"/>
      <c r="BH46" s="58"/>
      <c r="BI46" s="58"/>
      <c r="BJ46" s="58"/>
      <c r="BK46" s="58"/>
      <c r="BL46" s="58"/>
      <c r="BM46" s="34">
        <f t="shared" si="7"/>
        <v>2600</v>
      </c>
    </row>
    <row r="47" spans="1:65" ht="74.25" x14ac:dyDescent="0.95">
      <c r="A47" s="41" t="s">
        <v>40</v>
      </c>
      <c r="B47" s="105" t="s">
        <v>169</v>
      </c>
      <c r="C47" s="106"/>
      <c r="D47" s="57"/>
      <c r="E47" s="57">
        <f>776650+1506004</f>
        <v>2282654</v>
      </c>
      <c r="F47" s="57">
        <v>38745800</v>
      </c>
      <c r="G47" s="57">
        <v>23924400</v>
      </c>
      <c r="H47" s="57">
        <v>1223400</v>
      </c>
      <c r="I47" s="34">
        <v>2160850</v>
      </c>
      <c r="J47" s="34"/>
      <c r="K47" s="34"/>
      <c r="L47" s="34"/>
      <c r="M47" s="34"/>
      <c r="N47" s="34">
        <v>405154</v>
      </c>
      <c r="O47" s="34"/>
      <c r="P47" s="34">
        <v>173014</v>
      </c>
      <c r="Q47" s="34"/>
      <c r="R47" s="34">
        <f t="shared" si="1"/>
        <v>0</v>
      </c>
      <c r="S47" s="34"/>
      <c r="T47" s="34"/>
      <c r="U47" s="34">
        <f t="shared" si="2"/>
        <v>0</v>
      </c>
      <c r="V47" s="34"/>
      <c r="W47" s="34"/>
      <c r="X47" s="34"/>
      <c r="Y47" s="34"/>
      <c r="Z47" s="34"/>
      <c r="AA47" s="34"/>
      <c r="AB47" s="34"/>
      <c r="AC47" s="34"/>
      <c r="AD47" s="34"/>
      <c r="AE47" s="34">
        <f t="shared" si="6"/>
        <v>0</v>
      </c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58">
        <v>226000</v>
      </c>
      <c r="AS47" s="58"/>
      <c r="AT47" s="58"/>
      <c r="AU47" s="58"/>
      <c r="AV47" s="58"/>
      <c r="AW47" s="58"/>
      <c r="AX47" s="34">
        <f t="shared" si="4"/>
        <v>69141272</v>
      </c>
      <c r="AY47" s="34"/>
      <c r="AZ47" s="34"/>
      <c r="BA47" s="34"/>
      <c r="BB47" s="34"/>
      <c r="BC47" s="34"/>
      <c r="BD47" s="34">
        <f>2800</f>
        <v>2800</v>
      </c>
      <c r="BE47" s="34"/>
      <c r="BF47" s="34"/>
      <c r="BG47" s="34"/>
      <c r="BH47" s="58"/>
      <c r="BI47" s="58"/>
      <c r="BJ47" s="58"/>
      <c r="BK47" s="58"/>
      <c r="BL47" s="58"/>
      <c r="BM47" s="34">
        <f t="shared" si="7"/>
        <v>2800</v>
      </c>
    </row>
    <row r="48" spans="1:65" ht="74.25" x14ac:dyDescent="0.95">
      <c r="A48" s="41" t="s">
        <v>41</v>
      </c>
      <c r="B48" s="105" t="s">
        <v>170</v>
      </c>
      <c r="C48" s="106"/>
      <c r="D48" s="57"/>
      <c r="E48" s="57">
        <f>553950+1005173</f>
        <v>1559123</v>
      </c>
      <c r="F48" s="57">
        <v>19802000</v>
      </c>
      <c r="G48" s="57">
        <v>9254700</v>
      </c>
      <c r="H48" s="57">
        <v>1201800</v>
      </c>
      <c r="I48" s="34">
        <v>2118978</v>
      </c>
      <c r="J48" s="34"/>
      <c r="K48" s="34"/>
      <c r="L48" s="34"/>
      <c r="M48" s="34"/>
      <c r="N48" s="34"/>
      <c r="O48" s="34"/>
      <c r="P48" s="34"/>
      <c r="Q48" s="34"/>
      <c r="R48" s="34">
        <f t="shared" si="1"/>
        <v>0</v>
      </c>
      <c r="S48" s="34"/>
      <c r="T48" s="34"/>
      <c r="U48" s="34">
        <f t="shared" si="2"/>
        <v>0</v>
      </c>
      <c r="V48" s="34"/>
      <c r="W48" s="34"/>
      <c r="X48" s="34"/>
      <c r="Y48" s="34"/>
      <c r="Z48" s="34"/>
      <c r="AA48" s="34"/>
      <c r="AB48" s="34"/>
      <c r="AC48" s="34"/>
      <c r="AD48" s="34"/>
      <c r="AE48" s="34">
        <f t="shared" si="6"/>
        <v>0</v>
      </c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58"/>
      <c r="AS48" s="58"/>
      <c r="AT48" s="58"/>
      <c r="AU48" s="58"/>
      <c r="AV48" s="58"/>
      <c r="AW48" s="58"/>
      <c r="AX48" s="34">
        <f t="shared" si="4"/>
        <v>33936601</v>
      </c>
      <c r="AY48" s="34"/>
      <c r="AZ48" s="34"/>
      <c r="BA48" s="34"/>
      <c r="BB48" s="34"/>
      <c r="BC48" s="34"/>
      <c r="BD48" s="34">
        <v>4200</v>
      </c>
      <c r="BE48" s="34"/>
      <c r="BF48" s="34"/>
      <c r="BG48" s="34"/>
      <c r="BH48" s="58"/>
      <c r="BI48" s="58"/>
      <c r="BJ48" s="58"/>
      <c r="BK48" s="58"/>
      <c r="BL48" s="58"/>
      <c r="BM48" s="34">
        <f t="shared" si="7"/>
        <v>4200</v>
      </c>
    </row>
    <row r="49" spans="1:65" ht="74.25" customHeight="1" x14ac:dyDescent="0.95">
      <c r="A49" s="41"/>
      <c r="B49" s="105" t="s">
        <v>232</v>
      </c>
      <c r="C49" s="106"/>
      <c r="D49" s="34">
        <f>SUM(D27:D48)</f>
        <v>0</v>
      </c>
      <c r="E49" s="34">
        <f t="shared" ref="E49:BL49" si="8">SUM(E27:E48)</f>
        <v>88985329</v>
      </c>
      <c r="F49" s="34">
        <f t="shared" si="8"/>
        <v>1253822200</v>
      </c>
      <c r="G49" s="34">
        <f t="shared" si="8"/>
        <v>606847600</v>
      </c>
      <c r="H49" s="34">
        <f t="shared" si="8"/>
        <v>44241800</v>
      </c>
      <c r="I49" s="34">
        <f t="shared" si="8"/>
        <v>71349360</v>
      </c>
      <c r="J49" s="34"/>
      <c r="K49" s="34">
        <f t="shared" si="8"/>
        <v>0</v>
      </c>
      <c r="L49" s="34">
        <f>M49</f>
        <v>0</v>
      </c>
      <c r="M49" s="34">
        <f t="shared" si="8"/>
        <v>0</v>
      </c>
      <c r="N49" s="34">
        <f t="shared" si="8"/>
        <v>12762877</v>
      </c>
      <c r="O49" s="34"/>
      <c r="P49" s="34">
        <f t="shared" si="8"/>
        <v>3203722</v>
      </c>
      <c r="Q49" s="34">
        <f t="shared" si="8"/>
        <v>0</v>
      </c>
      <c r="R49" s="34">
        <f t="shared" si="8"/>
        <v>8326056</v>
      </c>
      <c r="S49" s="34">
        <f t="shared" si="8"/>
        <v>8326056</v>
      </c>
      <c r="T49" s="34">
        <f t="shared" si="8"/>
        <v>0</v>
      </c>
      <c r="U49" s="34">
        <f t="shared" si="8"/>
        <v>18383642</v>
      </c>
      <c r="V49" s="34">
        <f t="shared" si="8"/>
        <v>1094700</v>
      </c>
      <c r="W49" s="34">
        <f t="shared" si="8"/>
        <v>4179856</v>
      </c>
      <c r="X49" s="34">
        <f t="shared" si="8"/>
        <v>322819</v>
      </c>
      <c r="Y49" s="34">
        <f t="shared" si="8"/>
        <v>786267</v>
      </c>
      <c r="Z49" s="34">
        <f t="shared" si="8"/>
        <v>0</v>
      </c>
      <c r="AA49" s="34">
        <f t="shared" si="8"/>
        <v>4150726</v>
      </c>
      <c r="AB49" s="34">
        <f t="shared" si="8"/>
        <v>0</v>
      </c>
      <c r="AC49" s="34">
        <f t="shared" si="8"/>
        <v>0</v>
      </c>
      <c r="AD49" s="34">
        <f t="shared" si="8"/>
        <v>7849274</v>
      </c>
      <c r="AE49" s="34">
        <f>SUM(AE27:AE48)</f>
        <v>1244334</v>
      </c>
      <c r="AF49" s="34">
        <f t="shared" si="8"/>
        <v>1244334</v>
      </c>
      <c r="AG49" s="34">
        <f t="shared" si="8"/>
        <v>0</v>
      </c>
      <c r="AH49" s="34"/>
      <c r="AI49" s="34"/>
      <c r="AJ49" s="34"/>
      <c r="AK49" s="34"/>
      <c r="AL49" s="34"/>
      <c r="AM49" s="34"/>
      <c r="AN49" s="34"/>
      <c r="AO49" s="34"/>
      <c r="AP49" s="34"/>
      <c r="AQ49" s="34">
        <f t="shared" si="8"/>
        <v>0</v>
      </c>
      <c r="AR49" s="34">
        <f t="shared" si="8"/>
        <v>14937000</v>
      </c>
      <c r="AS49" s="34">
        <f t="shared" si="8"/>
        <v>0</v>
      </c>
      <c r="AT49" s="34">
        <f t="shared" si="8"/>
        <v>0</v>
      </c>
      <c r="AU49" s="34">
        <f t="shared" si="8"/>
        <v>0</v>
      </c>
      <c r="AV49" s="34">
        <f t="shared" si="8"/>
        <v>0</v>
      </c>
      <c r="AW49" s="34">
        <f t="shared" si="8"/>
        <v>1200000</v>
      </c>
      <c r="AX49" s="34">
        <f t="shared" si="4"/>
        <v>2125303920</v>
      </c>
      <c r="AY49" s="34">
        <f>SUM(AY27:AY48)</f>
        <v>0</v>
      </c>
      <c r="AZ49" s="34">
        <f>SUM(AZ27:AZ48)</f>
        <v>0</v>
      </c>
      <c r="BA49" s="34">
        <f>SUM(BA27:BA48)</f>
        <v>1800000</v>
      </c>
      <c r="BB49" s="34">
        <f t="shared" ref="BB49:BC49" si="9">SUM(BB27:BB48)</f>
        <v>0</v>
      </c>
      <c r="BC49" s="34">
        <f t="shared" si="9"/>
        <v>0</v>
      </c>
      <c r="BD49" s="34">
        <f t="shared" si="8"/>
        <v>204400</v>
      </c>
      <c r="BE49" s="34"/>
      <c r="BF49" s="34"/>
      <c r="BG49" s="34">
        <f t="shared" si="8"/>
        <v>0</v>
      </c>
      <c r="BH49" s="34">
        <f t="shared" si="8"/>
        <v>0</v>
      </c>
      <c r="BI49" s="34">
        <f t="shared" si="8"/>
        <v>0</v>
      </c>
      <c r="BJ49" s="34">
        <f>SUM(BJ27:BJ48)</f>
        <v>0</v>
      </c>
      <c r="BK49" s="34">
        <f t="shared" si="8"/>
        <v>0</v>
      </c>
      <c r="BL49" s="34">
        <f t="shared" si="8"/>
        <v>0</v>
      </c>
      <c r="BM49" s="34">
        <f t="shared" si="7"/>
        <v>2004400</v>
      </c>
    </row>
    <row r="50" spans="1:65" ht="74.25" x14ac:dyDescent="0.95">
      <c r="A50" s="41" t="s">
        <v>53</v>
      </c>
      <c r="B50" s="105" t="s">
        <v>172</v>
      </c>
      <c r="C50" s="106"/>
      <c r="D50" s="34"/>
      <c r="E50" s="34">
        <f>3613940+6715706</f>
        <v>10329646</v>
      </c>
      <c r="F50" s="34"/>
      <c r="G50" s="34"/>
      <c r="H50" s="34"/>
      <c r="I50" s="34"/>
      <c r="J50" s="34"/>
      <c r="K50" s="34"/>
      <c r="L50" s="34"/>
      <c r="M50" s="34"/>
      <c r="N50" s="34">
        <f>993640+24319</f>
        <v>1017959</v>
      </c>
      <c r="O50" s="34"/>
      <c r="P50" s="34">
        <v>186876</v>
      </c>
      <c r="Q50" s="34"/>
      <c r="R50" s="34">
        <f t="shared" si="1"/>
        <v>1040757</v>
      </c>
      <c r="S50" s="34">
        <v>1040757</v>
      </c>
      <c r="T50" s="34"/>
      <c r="U50" s="34">
        <f t="shared" si="2"/>
        <v>4451876</v>
      </c>
      <c r="V50" s="34"/>
      <c r="W50" s="34">
        <v>451876</v>
      </c>
      <c r="X50" s="34"/>
      <c r="Y50" s="34"/>
      <c r="Z50" s="34"/>
      <c r="AA50" s="34">
        <v>1037682</v>
      </c>
      <c r="AB50" s="34"/>
      <c r="AC50" s="34"/>
      <c r="AD50" s="34">
        <v>2962318</v>
      </c>
      <c r="AE50" s="34">
        <f>AF50+AG50</f>
        <v>234780</v>
      </c>
      <c r="AF50" s="34">
        <v>234780</v>
      </c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>
        <v>420000</v>
      </c>
      <c r="AS50" s="34"/>
      <c r="AT50" s="34"/>
      <c r="AU50" s="34"/>
      <c r="AV50" s="34"/>
      <c r="AW50" s="34"/>
      <c r="AX50" s="34">
        <f t="shared" si="4"/>
        <v>17681894</v>
      </c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>
        <f t="shared" si="7"/>
        <v>0</v>
      </c>
    </row>
    <row r="51" spans="1:65" ht="74.25" x14ac:dyDescent="0.95">
      <c r="A51" s="41" t="s">
        <v>54</v>
      </c>
      <c r="B51" s="105" t="s">
        <v>173</v>
      </c>
      <c r="C51" s="106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>
        <f>56344-56344</f>
        <v>0</v>
      </c>
      <c r="O51" s="34"/>
      <c r="P51" s="34">
        <v>146428</v>
      </c>
      <c r="Q51" s="34"/>
      <c r="R51" s="34">
        <f t="shared" si="1"/>
        <v>0</v>
      </c>
      <c r="S51" s="34"/>
      <c r="T51" s="34"/>
      <c r="U51" s="34">
        <f t="shared" si="2"/>
        <v>225938</v>
      </c>
      <c r="V51" s="34"/>
      <c r="W51" s="34">
        <v>225938</v>
      </c>
      <c r="X51" s="34"/>
      <c r="Y51" s="34"/>
      <c r="Z51" s="34"/>
      <c r="AA51" s="34"/>
      <c r="AB51" s="34"/>
      <c r="AC51" s="34"/>
      <c r="AD51" s="34"/>
      <c r="AE51" s="34">
        <f t="shared" ref="AE51:AE108" si="10">AF51+AG51</f>
        <v>70434</v>
      </c>
      <c r="AF51" s="34">
        <v>70434</v>
      </c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>
        <v>70000</v>
      </c>
      <c r="AS51" s="34"/>
      <c r="AT51" s="34"/>
      <c r="AU51" s="34"/>
      <c r="AV51" s="34"/>
      <c r="AW51" s="34"/>
      <c r="AX51" s="34">
        <f t="shared" si="4"/>
        <v>512800</v>
      </c>
      <c r="AY51" s="34"/>
      <c r="AZ51" s="34"/>
      <c r="BA51" s="34"/>
      <c r="BB51" s="34"/>
      <c r="BC51" s="34"/>
      <c r="BD51" s="34">
        <f>6900</f>
        <v>6900</v>
      </c>
      <c r="BE51" s="34"/>
      <c r="BF51" s="34"/>
      <c r="BG51" s="34"/>
      <c r="BH51" s="34"/>
      <c r="BI51" s="34"/>
      <c r="BJ51" s="34"/>
      <c r="BK51" s="34"/>
      <c r="BL51" s="34"/>
      <c r="BM51" s="34">
        <f t="shared" si="7"/>
        <v>6900</v>
      </c>
    </row>
    <row r="52" spans="1:65" ht="74.25" x14ac:dyDescent="0.95">
      <c r="A52" s="41" t="s">
        <v>55</v>
      </c>
      <c r="B52" s="105" t="s">
        <v>174</v>
      </c>
      <c r="C52" s="106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>
        <f>27744-27744</f>
        <v>0</v>
      </c>
      <c r="O52" s="34"/>
      <c r="P52" s="34">
        <v>36892</v>
      </c>
      <c r="Q52" s="34"/>
      <c r="R52" s="34">
        <f t="shared" si="1"/>
        <v>0</v>
      </c>
      <c r="S52" s="34"/>
      <c r="T52" s="34"/>
      <c r="U52" s="34">
        <f t="shared" si="2"/>
        <v>0</v>
      </c>
      <c r="V52" s="34"/>
      <c r="W52" s="34"/>
      <c r="X52" s="34"/>
      <c r="Y52" s="34"/>
      <c r="Z52" s="34"/>
      <c r="AA52" s="34"/>
      <c r="AB52" s="34"/>
      <c r="AC52" s="34"/>
      <c r="AD52" s="34"/>
      <c r="AE52" s="34">
        <f t="shared" si="10"/>
        <v>70434</v>
      </c>
      <c r="AF52" s="34">
        <v>70434</v>
      </c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>
        <v>100000</v>
      </c>
      <c r="AS52" s="34"/>
      <c r="AT52" s="34"/>
      <c r="AU52" s="34"/>
      <c r="AV52" s="34"/>
      <c r="AW52" s="34">
        <f>700000</f>
        <v>700000</v>
      </c>
      <c r="AX52" s="34">
        <f t="shared" si="4"/>
        <v>907326</v>
      </c>
      <c r="AY52" s="34"/>
      <c r="AZ52" s="34"/>
      <c r="BA52" s="34"/>
      <c r="BB52" s="34"/>
      <c r="BC52" s="34"/>
      <c r="BD52" s="34">
        <f>7500</f>
        <v>7500</v>
      </c>
      <c r="BE52" s="34"/>
      <c r="BF52" s="34"/>
      <c r="BG52" s="34"/>
      <c r="BH52" s="34"/>
      <c r="BI52" s="34"/>
      <c r="BJ52" s="34"/>
      <c r="BK52" s="34"/>
      <c r="BL52" s="34"/>
      <c r="BM52" s="34">
        <f t="shared" si="7"/>
        <v>7500</v>
      </c>
    </row>
    <row r="53" spans="1:65" ht="74.25" customHeight="1" x14ac:dyDescent="0.95">
      <c r="A53" s="41" t="s">
        <v>56</v>
      </c>
      <c r="B53" s="105" t="s">
        <v>175</v>
      </c>
      <c r="C53" s="106"/>
      <c r="D53" s="34"/>
      <c r="E53" s="34">
        <f>444130+805902</f>
        <v>1250032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>
        <f t="shared" si="1"/>
        <v>0</v>
      </c>
      <c r="S53" s="34"/>
      <c r="T53" s="34"/>
      <c r="U53" s="34">
        <f t="shared" si="2"/>
        <v>0</v>
      </c>
      <c r="V53" s="34"/>
      <c r="W53" s="34"/>
      <c r="X53" s="34"/>
      <c r="Y53" s="34"/>
      <c r="Z53" s="34"/>
      <c r="AA53" s="34"/>
      <c r="AB53" s="34"/>
      <c r="AC53" s="34"/>
      <c r="AD53" s="34"/>
      <c r="AE53" s="34">
        <f t="shared" si="10"/>
        <v>0</v>
      </c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>
        <v>30000</v>
      </c>
      <c r="AS53" s="34"/>
      <c r="AT53" s="34"/>
      <c r="AU53" s="34"/>
      <c r="AV53" s="34"/>
      <c r="AW53" s="34"/>
      <c r="AX53" s="34">
        <f t="shared" si="4"/>
        <v>1280032</v>
      </c>
      <c r="AY53" s="34"/>
      <c r="AZ53" s="34"/>
      <c r="BA53" s="34"/>
      <c r="BB53" s="34"/>
      <c r="BC53" s="34"/>
      <c r="BD53" s="34">
        <f>4300</f>
        <v>4300</v>
      </c>
      <c r="BE53" s="34"/>
      <c r="BF53" s="34"/>
      <c r="BG53" s="34"/>
      <c r="BH53" s="34"/>
      <c r="BI53" s="34"/>
      <c r="BJ53" s="34"/>
      <c r="BK53" s="34"/>
      <c r="BL53" s="34"/>
      <c r="BM53" s="34">
        <f t="shared" si="7"/>
        <v>4300</v>
      </c>
    </row>
    <row r="54" spans="1:65" ht="74.25" x14ac:dyDescent="0.95">
      <c r="A54" s="41" t="s">
        <v>106</v>
      </c>
      <c r="B54" s="105" t="s">
        <v>176</v>
      </c>
      <c r="C54" s="106"/>
      <c r="D54" s="34"/>
      <c r="E54" s="34">
        <f>263370+477898</f>
        <v>741268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>
        <f t="shared" si="1"/>
        <v>1040757</v>
      </c>
      <c r="S54" s="34">
        <v>1040757</v>
      </c>
      <c r="T54" s="34"/>
      <c r="U54" s="34">
        <f t="shared" si="2"/>
        <v>198600</v>
      </c>
      <c r="V54" s="34">
        <v>198600</v>
      </c>
      <c r="W54" s="34"/>
      <c r="X54" s="34"/>
      <c r="Y54" s="34"/>
      <c r="Z54" s="34"/>
      <c r="AA54" s="34"/>
      <c r="AB54" s="34"/>
      <c r="AC54" s="34"/>
      <c r="AD54" s="34"/>
      <c r="AE54" s="34">
        <f t="shared" si="10"/>
        <v>0</v>
      </c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>
        <v>80000</v>
      </c>
      <c r="AS54" s="34"/>
      <c r="AT54" s="34"/>
      <c r="AU54" s="34"/>
      <c r="AV54" s="34"/>
      <c r="AW54" s="34"/>
      <c r="AX54" s="34">
        <f t="shared" si="4"/>
        <v>2060625</v>
      </c>
      <c r="AY54" s="34"/>
      <c r="AZ54" s="34"/>
      <c r="BA54" s="34"/>
      <c r="BB54" s="34"/>
      <c r="BC54" s="34"/>
      <c r="BD54" s="34">
        <f>3100</f>
        <v>3100</v>
      </c>
      <c r="BE54" s="34"/>
      <c r="BF54" s="34"/>
      <c r="BG54" s="34"/>
      <c r="BH54" s="34"/>
      <c r="BI54" s="34"/>
      <c r="BJ54" s="34"/>
      <c r="BK54" s="34"/>
      <c r="BL54" s="34"/>
      <c r="BM54" s="34">
        <f t="shared" si="7"/>
        <v>3100</v>
      </c>
    </row>
    <row r="55" spans="1:65" ht="74.25" x14ac:dyDescent="0.95">
      <c r="A55" s="41" t="s">
        <v>57</v>
      </c>
      <c r="B55" s="105" t="s">
        <v>177</v>
      </c>
      <c r="C55" s="106"/>
      <c r="D55" s="34"/>
      <c r="E55" s="34">
        <f>1950240+3566897</f>
        <v>5517137</v>
      </c>
      <c r="F55" s="34"/>
      <c r="G55" s="34"/>
      <c r="H55" s="34"/>
      <c r="I55" s="34"/>
      <c r="J55" s="34"/>
      <c r="K55" s="34"/>
      <c r="L55" s="34"/>
      <c r="M55" s="34"/>
      <c r="N55" s="34">
        <f>20551-20551</f>
        <v>0</v>
      </c>
      <c r="O55" s="34"/>
      <c r="P55" s="34">
        <v>114801</v>
      </c>
      <c r="Q55" s="34"/>
      <c r="R55" s="34">
        <f t="shared" si="1"/>
        <v>0</v>
      </c>
      <c r="S55" s="34"/>
      <c r="T55" s="34"/>
      <c r="U55" s="34">
        <f t="shared" si="2"/>
        <v>338907</v>
      </c>
      <c r="V55" s="34"/>
      <c r="W55" s="34">
        <v>338907</v>
      </c>
      <c r="X55" s="34"/>
      <c r="Y55" s="34"/>
      <c r="Z55" s="34"/>
      <c r="AA55" s="34"/>
      <c r="AB55" s="34"/>
      <c r="AC55" s="34"/>
      <c r="AD55" s="34"/>
      <c r="AE55" s="34">
        <f t="shared" si="10"/>
        <v>211302</v>
      </c>
      <c r="AF55" s="34">
        <v>211302</v>
      </c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>
        <v>750000</v>
      </c>
      <c r="AS55" s="34"/>
      <c r="AT55" s="34"/>
      <c r="AU55" s="34"/>
      <c r="AV55" s="34"/>
      <c r="AW55" s="34"/>
      <c r="AX55" s="34">
        <f t="shared" si="4"/>
        <v>6932147</v>
      </c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>
        <f t="shared" si="7"/>
        <v>0</v>
      </c>
    </row>
    <row r="56" spans="1:65" ht="74.25" x14ac:dyDescent="0.95">
      <c r="A56" s="41" t="s">
        <v>58</v>
      </c>
      <c r="B56" s="105" t="s">
        <v>178</v>
      </c>
      <c r="C56" s="106"/>
      <c r="D56" s="34"/>
      <c r="E56" s="34">
        <f>636590+1164595</f>
        <v>1801185</v>
      </c>
      <c r="F56" s="34"/>
      <c r="G56" s="34"/>
      <c r="H56" s="34"/>
      <c r="I56" s="34"/>
      <c r="J56" s="34"/>
      <c r="K56" s="34"/>
      <c r="L56" s="34"/>
      <c r="M56" s="34"/>
      <c r="N56" s="34">
        <f>3768-3768</f>
        <v>0</v>
      </c>
      <c r="O56" s="34"/>
      <c r="P56" s="34">
        <v>43253</v>
      </c>
      <c r="Q56" s="34"/>
      <c r="R56" s="34">
        <f t="shared" si="1"/>
        <v>0</v>
      </c>
      <c r="S56" s="34"/>
      <c r="T56" s="34"/>
      <c r="U56" s="34">
        <f t="shared" si="2"/>
        <v>0</v>
      </c>
      <c r="V56" s="34"/>
      <c r="W56" s="34"/>
      <c r="X56" s="34"/>
      <c r="Y56" s="34"/>
      <c r="Z56" s="34"/>
      <c r="AA56" s="34"/>
      <c r="AB56" s="34"/>
      <c r="AC56" s="34"/>
      <c r="AD56" s="34"/>
      <c r="AE56" s="34">
        <f t="shared" si="10"/>
        <v>0</v>
      </c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>
        <v>600000</v>
      </c>
      <c r="AS56" s="34"/>
      <c r="AT56" s="34"/>
      <c r="AU56" s="34"/>
      <c r="AV56" s="34"/>
      <c r="AW56" s="34"/>
      <c r="AX56" s="34">
        <f t="shared" si="4"/>
        <v>2444438</v>
      </c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>
        <f t="shared" si="7"/>
        <v>0</v>
      </c>
    </row>
    <row r="57" spans="1:65" ht="74.25" customHeight="1" x14ac:dyDescent="0.95">
      <c r="A57" s="41" t="s">
        <v>59</v>
      </c>
      <c r="B57" s="105" t="s">
        <v>179</v>
      </c>
      <c r="C57" s="106"/>
      <c r="D57" s="34"/>
      <c r="E57" s="34">
        <f>184650+335058</f>
        <v>519708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>
        <f t="shared" si="1"/>
        <v>0</v>
      </c>
      <c r="S57" s="34"/>
      <c r="T57" s="34"/>
      <c r="U57" s="34">
        <f t="shared" si="2"/>
        <v>0</v>
      </c>
      <c r="V57" s="34"/>
      <c r="W57" s="34"/>
      <c r="X57" s="34"/>
      <c r="Y57" s="34"/>
      <c r="Z57" s="34"/>
      <c r="AA57" s="34"/>
      <c r="AB57" s="34"/>
      <c r="AC57" s="34"/>
      <c r="AD57" s="34"/>
      <c r="AE57" s="34">
        <f t="shared" si="10"/>
        <v>0</v>
      </c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>
        <v>35000</v>
      </c>
      <c r="AS57" s="34"/>
      <c r="AT57" s="34"/>
      <c r="AU57" s="34"/>
      <c r="AV57" s="34"/>
      <c r="AW57" s="34"/>
      <c r="AX57" s="34">
        <f t="shared" si="4"/>
        <v>554708</v>
      </c>
      <c r="AY57" s="34"/>
      <c r="AZ57" s="34"/>
      <c r="BA57" s="34"/>
      <c r="BB57" s="34"/>
      <c r="BC57" s="34"/>
      <c r="BD57" s="34">
        <f>2200</f>
        <v>2200</v>
      </c>
      <c r="BE57" s="34"/>
      <c r="BF57" s="34"/>
      <c r="BG57" s="34"/>
      <c r="BH57" s="34"/>
      <c r="BI57" s="34"/>
      <c r="BJ57" s="34"/>
      <c r="BK57" s="34"/>
      <c r="BL57" s="34"/>
      <c r="BM57" s="34">
        <f t="shared" si="7"/>
        <v>2200</v>
      </c>
    </row>
    <row r="58" spans="1:65" ht="74.25" x14ac:dyDescent="0.95">
      <c r="A58" s="41" t="s">
        <v>78</v>
      </c>
      <c r="B58" s="105" t="s">
        <v>180</v>
      </c>
      <c r="C58" s="106"/>
      <c r="D58" s="34"/>
      <c r="E58" s="34">
        <f>310990+564307</f>
        <v>875297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>
        <f t="shared" si="1"/>
        <v>0</v>
      </c>
      <c r="S58" s="34"/>
      <c r="T58" s="34"/>
      <c r="U58" s="34">
        <f t="shared" si="2"/>
        <v>0</v>
      </c>
      <c r="V58" s="34"/>
      <c r="W58" s="34"/>
      <c r="X58" s="34"/>
      <c r="Y58" s="34"/>
      <c r="Z58" s="34"/>
      <c r="AA58" s="34"/>
      <c r="AB58" s="34"/>
      <c r="AC58" s="34"/>
      <c r="AD58" s="34"/>
      <c r="AE58" s="34">
        <f t="shared" si="10"/>
        <v>0</v>
      </c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>
        <v>45000</v>
      </c>
      <c r="AS58" s="34"/>
      <c r="AT58" s="34"/>
      <c r="AU58" s="34"/>
      <c r="AV58" s="34"/>
      <c r="AW58" s="34"/>
      <c r="AX58" s="34">
        <f t="shared" si="4"/>
        <v>920297</v>
      </c>
      <c r="AY58" s="34"/>
      <c r="AZ58" s="34"/>
      <c r="BA58" s="34"/>
      <c r="BB58" s="34"/>
      <c r="BC58" s="34"/>
      <c r="BD58" s="34">
        <v>3700</v>
      </c>
      <c r="BE58" s="34"/>
      <c r="BF58" s="34"/>
      <c r="BG58" s="34"/>
      <c r="BH58" s="34"/>
      <c r="BI58" s="34"/>
      <c r="BJ58" s="34"/>
      <c r="BK58" s="34"/>
      <c r="BL58" s="34">
        <f>3700-3700</f>
        <v>0</v>
      </c>
      <c r="BM58" s="34">
        <f t="shared" si="7"/>
        <v>3700</v>
      </c>
    </row>
    <row r="59" spans="1:65" ht="74.25" x14ac:dyDescent="0.95">
      <c r="A59" s="41" t="s">
        <v>60</v>
      </c>
      <c r="B59" s="105" t="s">
        <v>181</v>
      </c>
      <c r="C59" s="106"/>
      <c r="D59" s="34"/>
      <c r="E59" s="34">
        <f>461620+837644</f>
        <v>1299264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>
        <f t="shared" si="1"/>
        <v>0</v>
      </c>
      <c r="S59" s="34"/>
      <c r="T59" s="34"/>
      <c r="U59" s="34">
        <f t="shared" si="2"/>
        <v>0</v>
      </c>
      <c r="V59" s="34"/>
      <c r="W59" s="34"/>
      <c r="X59" s="34"/>
      <c r="Y59" s="34"/>
      <c r="Z59" s="34"/>
      <c r="AA59" s="34"/>
      <c r="AB59" s="34"/>
      <c r="AC59" s="34"/>
      <c r="AD59" s="34"/>
      <c r="AE59" s="34">
        <f t="shared" si="10"/>
        <v>0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>
        <v>180000</v>
      </c>
      <c r="AS59" s="34"/>
      <c r="AT59" s="34"/>
      <c r="AU59" s="34"/>
      <c r="AV59" s="34"/>
      <c r="AW59" s="34"/>
      <c r="AX59" s="34">
        <f t="shared" si="4"/>
        <v>1479264</v>
      </c>
      <c r="AY59" s="34"/>
      <c r="AZ59" s="34"/>
      <c r="BA59" s="34"/>
      <c r="BB59" s="34"/>
      <c r="BC59" s="34"/>
      <c r="BD59" s="34">
        <f>5000</f>
        <v>5000</v>
      </c>
      <c r="BE59" s="34"/>
      <c r="BF59" s="34"/>
      <c r="BG59" s="34"/>
      <c r="BH59" s="34"/>
      <c r="BI59" s="34"/>
      <c r="BJ59" s="34"/>
      <c r="BK59" s="34"/>
      <c r="BL59" s="34"/>
      <c r="BM59" s="34">
        <f t="shared" si="7"/>
        <v>5000</v>
      </c>
    </row>
    <row r="60" spans="1:65" ht="74.25" x14ac:dyDescent="0.95">
      <c r="A60" s="41" t="s">
        <v>61</v>
      </c>
      <c r="B60" s="105" t="s">
        <v>182</v>
      </c>
      <c r="C60" s="106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>
        <f>46411-46411</f>
        <v>0</v>
      </c>
      <c r="O60" s="34"/>
      <c r="P60" s="34">
        <v>55741</v>
      </c>
      <c r="Q60" s="34"/>
      <c r="R60" s="34">
        <f t="shared" si="1"/>
        <v>0</v>
      </c>
      <c r="S60" s="34"/>
      <c r="T60" s="34"/>
      <c r="U60" s="34">
        <f t="shared" si="2"/>
        <v>112969</v>
      </c>
      <c r="V60" s="34"/>
      <c r="W60" s="34">
        <v>112969</v>
      </c>
      <c r="X60" s="34"/>
      <c r="Y60" s="34"/>
      <c r="Z60" s="34"/>
      <c r="AA60" s="34"/>
      <c r="AB60" s="34"/>
      <c r="AC60" s="34"/>
      <c r="AD60" s="34"/>
      <c r="AE60" s="34">
        <f t="shared" si="10"/>
        <v>70434</v>
      </c>
      <c r="AF60" s="34">
        <v>70434</v>
      </c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>
        <v>370000</v>
      </c>
      <c r="AS60" s="34"/>
      <c r="AT60" s="34"/>
      <c r="AU60" s="34"/>
      <c r="AV60" s="34">
        <f>300000</f>
        <v>300000</v>
      </c>
      <c r="AW60" s="34"/>
      <c r="AX60" s="34">
        <f t="shared" si="4"/>
        <v>909144</v>
      </c>
      <c r="AY60" s="34"/>
      <c r="AZ60" s="34"/>
      <c r="BA60" s="34"/>
      <c r="BB60" s="34">
        <f>5000000</f>
        <v>5000000</v>
      </c>
      <c r="BC60" s="34"/>
      <c r="BD60" s="34">
        <f>11100</f>
        <v>11100</v>
      </c>
      <c r="BE60" s="34"/>
      <c r="BF60" s="34"/>
      <c r="BG60" s="34"/>
      <c r="BH60" s="34"/>
      <c r="BI60" s="34"/>
      <c r="BJ60" s="34"/>
      <c r="BK60" s="34"/>
      <c r="BL60" s="34"/>
      <c r="BM60" s="34">
        <f t="shared" si="7"/>
        <v>5011100</v>
      </c>
    </row>
    <row r="61" spans="1:65" ht="74.25" customHeight="1" x14ac:dyDescent="0.95">
      <c r="A61" s="41" t="s">
        <v>62</v>
      </c>
      <c r="B61" s="105" t="s">
        <v>183</v>
      </c>
      <c r="C61" s="106"/>
      <c r="D61" s="34"/>
      <c r="E61" s="34">
        <f>339170+615448</f>
        <v>954618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>
        <f t="shared" si="1"/>
        <v>0</v>
      </c>
      <c r="S61" s="34"/>
      <c r="T61" s="34"/>
      <c r="U61" s="34">
        <f t="shared" si="2"/>
        <v>112969</v>
      </c>
      <c r="V61" s="34"/>
      <c r="W61" s="34">
        <v>112969</v>
      </c>
      <c r="X61" s="34"/>
      <c r="Y61" s="34"/>
      <c r="Z61" s="34"/>
      <c r="AA61" s="34"/>
      <c r="AB61" s="34"/>
      <c r="AC61" s="34"/>
      <c r="AD61" s="34"/>
      <c r="AE61" s="34">
        <f t="shared" si="10"/>
        <v>23478</v>
      </c>
      <c r="AF61" s="34">
        <v>23478</v>
      </c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>
        <v>30000</v>
      </c>
      <c r="AS61" s="34"/>
      <c r="AT61" s="34"/>
      <c r="AU61" s="34"/>
      <c r="AV61" s="34"/>
      <c r="AW61" s="34"/>
      <c r="AX61" s="34">
        <f t="shared" si="4"/>
        <v>1121065</v>
      </c>
      <c r="AY61" s="34"/>
      <c r="AZ61" s="34"/>
      <c r="BA61" s="34"/>
      <c r="BB61" s="34"/>
      <c r="BC61" s="34"/>
      <c r="BD61" s="34">
        <f>4300</f>
        <v>4300</v>
      </c>
      <c r="BE61" s="34"/>
      <c r="BF61" s="34"/>
      <c r="BG61" s="34"/>
      <c r="BH61" s="34"/>
      <c r="BI61" s="34"/>
      <c r="BJ61" s="34"/>
      <c r="BK61" s="34"/>
      <c r="BL61" s="34"/>
      <c r="BM61" s="34">
        <f t="shared" si="7"/>
        <v>4300</v>
      </c>
    </row>
    <row r="62" spans="1:65" ht="74.25" x14ac:dyDescent="0.95">
      <c r="A62" s="41" t="s">
        <v>63</v>
      </c>
      <c r="B62" s="105" t="s">
        <v>184</v>
      </c>
      <c r="C62" s="106"/>
      <c r="D62" s="34"/>
      <c r="E62" s="34">
        <f>1761200+3251005</f>
        <v>5012205</v>
      </c>
      <c r="F62" s="34"/>
      <c r="G62" s="34"/>
      <c r="H62" s="34"/>
      <c r="I62" s="34"/>
      <c r="J62" s="34"/>
      <c r="K62" s="34"/>
      <c r="L62" s="34"/>
      <c r="M62" s="34"/>
      <c r="N62" s="34">
        <f>27744-27744</f>
        <v>0</v>
      </c>
      <c r="O62" s="34"/>
      <c r="P62" s="34">
        <v>216823</v>
      </c>
      <c r="Q62" s="34"/>
      <c r="R62" s="34">
        <f t="shared" si="1"/>
        <v>1040757</v>
      </c>
      <c r="S62" s="34">
        <v>1040757</v>
      </c>
      <c r="T62" s="34"/>
      <c r="U62" s="34">
        <f t="shared" si="2"/>
        <v>0</v>
      </c>
      <c r="V62" s="34"/>
      <c r="W62" s="34"/>
      <c r="X62" s="34"/>
      <c r="Y62" s="34"/>
      <c r="Z62" s="34"/>
      <c r="AA62" s="34"/>
      <c r="AB62" s="34"/>
      <c r="AC62" s="34"/>
      <c r="AD62" s="34"/>
      <c r="AE62" s="34">
        <f t="shared" si="10"/>
        <v>117390</v>
      </c>
      <c r="AF62" s="34">
        <v>117390</v>
      </c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>
        <v>430000</v>
      </c>
      <c r="AS62" s="34"/>
      <c r="AT62" s="34"/>
      <c r="AU62" s="34"/>
      <c r="AV62" s="34"/>
      <c r="AW62" s="34"/>
      <c r="AX62" s="34">
        <f t="shared" si="4"/>
        <v>6817175</v>
      </c>
      <c r="AY62" s="34"/>
      <c r="AZ62" s="34"/>
      <c r="BA62" s="34"/>
      <c r="BB62" s="34"/>
      <c r="BC62" s="34"/>
      <c r="BD62" s="34">
        <f>14000</f>
        <v>14000</v>
      </c>
      <c r="BE62" s="34"/>
      <c r="BF62" s="34"/>
      <c r="BG62" s="34"/>
      <c r="BH62" s="34"/>
      <c r="BI62" s="34"/>
      <c r="BJ62" s="34"/>
      <c r="BK62" s="34"/>
      <c r="BL62" s="34"/>
      <c r="BM62" s="34">
        <f t="shared" si="7"/>
        <v>14000</v>
      </c>
    </row>
    <row r="63" spans="1:65" ht="74.25" x14ac:dyDescent="0.95">
      <c r="A63" s="41" t="s">
        <v>64</v>
      </c>
      <c r="B63" s="105" t="s">
        <v>185</v>
      </c>
      <c r="C63" s="106"/>
      <c r="D63" s="34"/>
      <c r="E63" s="34">
        <f>539470+987509</f>
        <v>1526979</v>
      </c>
      <c r="F63" s="34"/>
      <c r="G63" s="34"/>
      <c r="H63" s="34"/>
      <c r="I63" s="34"/>
      <c r="J63" s="34"/>
      <c r="K63" s="34"/>
      <c r="L63" s="34"/>
      <c r="M63" s="34"/>
      <c r="N63" s="34">
        <f>17982-17982</f>
        <v>0</v>
      </c>
      <c r="O63" s="34"/>
      <c r="P63" s="34">
        <v>29947</v>
      </c>
      <c r="Q63" s="34"/>
      <c r="R63" s="34">
        <f t="shared" si="1"/>
        <v>0</v>
      </c>
      <c r="S63" s="34"/>
      <c r="T63" s="34"/>
      <c r="U63" s="34">
        <f t="shared" si="2"/>
        <v>0</v>
      </c>
      <c r="V63" s="34"/>
      <c r="W63" s="34"/>
      <c r="X63" s="34"/>
      <c r="Y63" s="34"/>
      <c r="Z63" s="34"/>
      <c r="AA63" s="34"/>
      <c r="AB63" s="34"/>
      <c r="AC63" s="34"/>
      <c r="AD63" s="34"/>
      <c r="AE63" s="34">
        <f t="shared" si="10"/>
        <v>0</v>
      </c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>
        <v>370000</v>
      </c>
      <c r="AS63" s="34"/>
      <c r="AT63" s="34"/>
      <c r="AU63" s="34"/>
      <c r="AV63" s="34"/>
      <c r="AW63" s="34"/>
      <c r="AX63" s="34">
        <f t="shared" si="4"/>
        <v>1926926</v>
      </c>
      <c r="AY63" s="34"/>
      <c r="AZ63" s="34"/>
      <c r="BA63" s="34"/>
      <c r="BB63" s="34"/>
      <c r="BC63" s="34"/>
      <c r="BD63" s="34">
        <f>6000</f>
        <v>6000</v>
      </c>
      <c r="BE63" s="34"/>
      <c r="BF63" s="34"/>
      <c r="BG63" s="34"/>
      <c r="BH63" s="34"/>
      <c r="BI63" s="34"/>
      <c r="BJ63" s="34"/>
      <c r="BK63" s="34"/>
      <c r="BL63" s="34"/>
      <c r="BM63" s="34">
        <f t="shared" si="7"/>
        <v>6000</v>
      </c>
    </row>
    <row r="64" spans="1:65" ht="74.25" x14ac:dyDescent="0.95">
      <c r="A64" s="41" t="s">
        <v>65</v>
      </c>
      <c r="B64" s="105" t="s">
        <v>186</v>
      </c>
      <c r="C64" s="106"/>
      <c r="D64" s="34"/>
      <c r="E64" s="34">
        <v>0</v>
      </c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>
        <f t="shared" si="1"/>
        <v>0</v>
      </c>
      <c r="S64" s="34"/>
      <c r="T64" s="34"/>
      <c r="U64" s="34">
        <f t="shared" si="2"/>
        <v>0</v>
      </c>
      <c r="V64" s="34"/>
      <c r="W64" s="34"/>
      <c r="X64" s="34"/>
      <c r="Y64" s="34"/>
      <c r="Z64" s="34"/>
      <c r="AA64" s="34"/>
      <c r="AB64" s="34"/>
      <c r="AC64" s="34"/>
      <c r="AD64" s="34"/>
      <c r="AE64" s="34">
        <f t="shared" si="10"/>
        <v>0</v>
      </c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>
        <v>250000</v>
      </c>
      <c r="AS64" s="34"/>
      <c r="AT64" s="34"/>
      <c r="AU64" s="34"/>
      <c r="AV64" s="34"/>
      <c r="AW64" s="34"/>
      <c r="AX64" s="34">
        <f t="shared" si="4"/>
        <v>250000</v>
      </c>
      <c r="AY64" s="34"/>
      <c r="AZ64" s="34"/>
      <c r="BA64" s="34"/>
      <c r="BB64" s="34">
        <f>19758818</f>
        <v>19758818</v>
      </c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>
        <f t="shared" si="7"/>
        <v>19758818</v>
      </c>
    </row>
    <row r="65" spans="1:65" ht="74.25" customHeight="1" x14ac:dyDescent="0.95">
      <c r="A65" s="41" t="s">
        <v>100</v>
      </c>
      <c r="B65" s="105" t="s">
        <v>187</v>
      </c>
      <c r="C65" s="106"/>
      <c r="D65" s="34"/>
      <c r="E65" s="34">
        <f>707500+1283799</f>
        <v>1991299</v>
      </c>
      <c r="F65" s="34"/>
      <c r="G65" s="34"/>
      <c r="H65" s="34"/>
      <c r="I65" s="34"/>
      <c r="J65" s="34"/>
      <c r="K65" s="34"/>
      <c r="L65" s="34">
        <f>M65</f>
        <v>65800</v>
      </c>
      <c r="M65" s="34">
        <v>65800</v>
      </c>
      <c r="N65" s="34"/>
      <c r="O65" s="34"/>
      <c r="P65" s="34"/>
      <c r="Q65" s="34"/>
      <c r="R65" s="34">
        <f t="shared" si="1"/>
        <v>0</v>
      </c>
      <c r="S65" s="34"/>
      <c r="T65" s="34"/>
      <c r="U65" s="34">
        <f t="shared" si="2"/>
        <v>225938</v>
      </c>
      <c r="V65" s="34"/>
      <c r="W65" s="34">
        <v>225938</v>
      </c>
      <c r="X65" s="34"/>
      <c r="Y65" s="34"/>
      <c r="Z65" s="34"/>
      <c r="AA65" s="34"/>
      <c r="AB65" s="34"/>
      <c r="AC65" s="34"/>
      <c r="AD65" s="34"/>
      <c r="AE65" s="34">
        <f t="shared" si="10"/>
        <v>46956</v>
      </c>
      <c r="AF65" s="34">
        <v>46956</v>
      </c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>
        <v>30000</v>
      </c>
      <c r="AS65" s="34"/>
      <c r="AT65" s="34"/>
      <c r="AU65" s="34"/>
      <c r="AV65" s="34"/>
      <c r="AW65" s="34"/>
      <c r="AX65" s="34">
        <f t="shared" si="4"/>
        <v>2359993</v>
      </c>
      <c r="AY65" s="34"/>
      <c r="AZ65" s="34"/>
      <c r="BA65" s="34"/>
      <c r="BB65" s="34"/>
      <c r="BC65" s="34"/>
      <c r="BD65" s="34">
        <f>3400</f>
        <v>3400</v>
      </c>
      <c r="BE65" s="34"/>
      <c r="BF65" s="34"/>
      <c r="BG65" s="34"/>
      <c r="BH65" s="34"/>
      <c r="BI65" s="34"/>
      <c r="BJ65" s="34"/>
      <c r="BK65" s="34"/>
      <c r="BL65" s="34"/>
      <c r="BM65" s="34">
        <f t="shared" si="7"/>
        <v>3400</v>
      </c>
    </row>
    <row r="66" spans="1:65" ht="74.25" x14ac:dyDescent="0.95">
      <c r="A66" s="41" t="s">
        <v>66</v>
      </c>
      <c r="B66" s="105" t="s">
        <v>188</v>
      </c>
      <c r="C66" s="106"/>
      <c r="D66" s="34"/>
      <c r="E66" s="34">
        <f>454480+832085</f>
        <v>1286565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>
        <f>30000</f>
        <v>30000</v>
      </c>
      <c r="Q66" s="34"/>
      <c r="R66" s="34">
        <f t="shared" si="1"/>
        <v>0</v>
      </c>
      <c r="S66" s="34"/>
      <c r="T66" s="34"/>
      <c r="U66" s="34">
        <f t="shared" si="2"/>
        <v>506102</v>
      </c>
      <c r="V66" s="34"/>
      <c r="W66" s="34">
        <v>112969</v>
      </c>
      <c r="X66" s="34"/>
      <c r="Y66" s="34">
        <v>393133</v>
      </c>
      <c r="Z66" s="34"/>
      <c r="AA66" s="34"/>
      <c r="AB66" s="34"/>
      <c r="AC66" s="34"/>
      <c r="AD66" s="34"/>
      <c r="AE66" s="34">
        <f t="shared" si="10"/>
        <v>46956</v>
      </c>
      <c r="AF66" s="34">
        <v>46956</v>
      </c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>
        <v>105000</v>
      </c>
      <c r="AS66" s="34"/>
      <c r="AT66" s="34"/>
      <c r="AU66" s="34"/>
      <c r="AV66" s="34"/>
      <c r="AW66" s="34"/>
      <c r="AX66" s="34">
        <f t="shared" si="4"/>
        <v>1974623</v>
      </c>
      <c r="AY66" s="34"/>
      <c r="AZ66" s="34"/>
      <c r="BA66" s="34"/>
      <c r="BB66" s="34"/>
      <c r="BC66" s="34"/>
      <c r="BD66" s="34">
        <f>5200</f>
        <v>5200</v>
      </c>
      <c r="BE66" s="34"/>
      <c r="BF66" s="34"/>
      <c r="BG66" s="34"/>
      <c r="BH66" s="34"/>
      <c r="BI66" s="34"/>
      <c r="BJ66" s="34"/>
      <c r="BK66" s="34"/>
      <c r="BL66" s="34"/>
      <c r="BM66" s="34">
        <f t="shared" si="7"/>
        <v>5200</v>
      </c>
    </row>
    <row r="67" spans="1:65" ht="74.25" x14ac:dyDescent="0.95">
      <c r="A67" s="41" t="s">
        <v>67</v>
      </c>
      <c r="B67" s="105" t="s">
        <v>189</v>
      </c>
      <c r="C67" s="106"/>
      <c r="D67" s="34"/>
      <c r="E67" s="34">
        <f>602030+1100793</f>
        <v>1702823</v>
      </c>
      <c r="F67" s="34"/>
      <c r="G67" s="34"/>
      <c r="H67" s="34"/>
      <c r="I67" s="34"/>
      <c r="J67" s="34"/>
      <c r="K67" s="34"/>
      <c r="L67" s="34"/>
      <c r="M67" s="34"/>
      <c r="N67" s="34">
        <f>3768-3768</f>
        <v>0</v>
      </c>
      <c r="O67" s="34"/>
      <c r="P67" s="34">
        <f>3167+30000</f>
        <v>33167</v>
      </c>
      <c r="Q67" s="34"/>
      <c r="R67" s="34">
        <f t="shared" si="1"/>
        <v>0</v>
      </c>
      <c r="S67" s="34"/>
      <c r="T67" s="34"/>
      <c r="U67" s="34">
        <f t="shared" si="2"/>
        <v>4112969.7199999997</v>
      </c>
      <c r="V67" s="34"/>
      <c r="W67" s="34">
        <v>112969</v>
      </c>
      <c r="X67" s="34"/>
      <c r="Y67" s="34"/>
      <c r="Z67" s="34"/>
      <c r="AA67" s="34">
        <v>1037682</v>
      </c>
      <c r="AB67" s="34">
        <v>17543.72</v>
      </c>
      <c r="AC67" s="34"/>
      <c r="AD67" s="34">
        <v>2944775</v>
      </c>
      <c r="AE67" s="34">
        <f t="shared" si="10"/>
        <v>23478</v>
      </c>
      <c r="AF67" s="34">
        <v>23478</v>
      </c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>
        <v>105000</v>
      </c>
      <c r="AS67" s="34"/>
      <c r="AT67" s="34"/>
      <c r="AU67" s="34"/>
      <c r="AV67" s="34"/>
      <c r="AW67" s="34"/>
      <c r="AX67" s="34">
        <f t="shared" si="4"/>
        <v>5977437.7199999988</v>
      </c>
      <c r="AY67" s="34"/>
      <c r="AZ67" s="34"/>
      <c r="BA67" s="34"/>
      <c r="BB67" s="34"/>
      <c r="BC67" s="34"/>
      <c r="BD67" s="34">
        <f>5900</f>
        <v>5900</v>
      </c>
      <c r="BE67" s="34"/>
      <c r="BF67" s="34"/>
      <c r="BG67" s="34"/>
      <c r="BH67" s="34"/>
      <c r="BI67" s="34">
        <f>10800</f>
        <v>10800</v>
      </c>
      <c r="BJ67" s="34"/>
      <c r="BK67" s="34"/>
      <c r="BL67" s="34"/>
      <c r="BM67" s="34">
        <f t="shared" si="7"/>
        <v>16700</v>
      </c>
    </row>
    <row r="68" spans="1:65" ht="74.25" x14ac:dyDescent="0.95">
      <c r="A68" s="41" t="s">
        <v>68</v>
      </c>
      <c r="B68" s="105" t="s">
        <v>190</v>
      </c>
      <c r="C68" s="106"/>
      <c r="D68" s="34"/>
      <c r="E68" s="34">
        <f>2430610+4479417</f>
        <v>6910027</v>
      </c>
      <c r="F68" s="34"/>
      <c r="G68" s="34"/>
      <c r="H68" s="34"/>
      <c r="I68" s="34"/>
      <c r="J68" s="34"/>
      <c r="K68" s="34"/>
      <c r="L68" s="34"/>
      <c r="M68" s="34"/>
      <c r="N68" s="34">
        <f>695924+148481</f>
        <v>844405</v>
      </c>
      <c r="O68" s="34"/>
      <c r="P68" s="34"/>
      <c r="Q68" s="34"/>
      <c r="R68" s="34">
        <f t="shared" si="1"/>
        <v>0</v>
      </c>
      <c r="S68" s="34"/>
      <c r="T68" s="34"/>
      <c r="U68" s="34">
        <f t="shared" si="2"/>
        <v>4451876</v>
      </c>
      <c r="V68" s="34"/>
      <c r="W68" s="34">
        <v>451876</v>
      </c>
      <c r="X68" s="34"/>
      <c r="Y68" s="34"/>
      <c r="Z68" s="34"/>
      <c r="AA68" s="34">
        <v>1037682</v>
      </c>
      <c r="AB68" s="34"/>
      <c r="AC68" s="34"/>
      <c r="AD68" s="34">
        <v>2962318</v>
      </c>
      <c r="AE68" s="34">
        <f t="shared" si="10"/>
        <v>187824</v>
      </c>
      <c r="AF68" s="34">
        <v>187824</v>
      </c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>
        <v>120000</v>
      </c>
      <c r="AS68" s="34"/>
      <c r="AT68" s="34"/>
      <c r="AU68" s="34"/>
      <c r="AV68" s="34"/>
      <c r="AW68" s="34"/>
      <c r="AX68" s="34">
        <f t="shared" si="4"/>
        <v>12514132</v>
      </c>
      <c r="AY68" s="34"/>
      <c r="AZ68" s="34"/>
      <c r="BA68" s="34"/>
      <c r="BB68" s="34"/>
      <c r="BC68" s="34"/>
      <c r="BD68" s="34">
        <f>16400</f>
        <v>16400</v>
      </c>
      <c r="BE68" s="34"/>
      <c r="BF68" s="34"/>
      <c r="BG68" s="34"/>
      <c r="BH68" s="34"/>
      <c r="BI68" s="34"/>
      <c r="BJ68" s="34"/>
      <c r="BK68" s="34"/>
      <c r="BL68" s="34"/>
      <c r="BM68" s="34">
        <f t="shared" si="7"/>
        <v>16400</v>
      </c>
    </row>
    <row r="69" spans="1:65" ht="74.25" customHeight="1" x14ac:dyDescent="0.95">
      <c r="A69" s="41" t="s">
        <v>97</v>
      </c>
      <c r="B69" s="105" t="s">
        <v>191</v>
      </c>
      <c r="C69" s="106"/>
      <c r="D69" s="34"/>
      <c r="E69" s="34">
        <f>403310+731836</f>
        <v>1135146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>
        <f t="shared" si="1"/>
        <v>0</v>
      </c>
      <c r="S69" s="34"/>
      <c r="T69" s="34"/>
      <c r="U69" s="34">
        <f t="shared" si="2"/>
        <v>0</v>
      </c>
      <c r="V69" s="34"/>
      <c r="W69" s="34"/>
      <c r="X69" s="34"/>
      <c r="Y69" s="34"/>
      <c r="Z69" s="34"/>
      <c r="AA69" s="34"/>
      <c r="AB69" s="34"/>
      <c r="AC69" s="34"/>
      <c r="AD69" s="34"/>
      <c r="AE69" s="34">
        <f t="shared" si="10"/>
        <v>0</v>
      </c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>
        <f t="shared" si="4"/>
        <v>1135146</v>
      </c>
      <c r="AY69" s="34"/>
      <c r="AZ69" s="34"/>
      <c r="BA69" s="34"/>
      <c r="BB69" s="34"/>
      <c r="BC69" s="34"/>
      <c r="BD69" s="34">
        <f>3900</f>
        <v>3900</v>
      </c>
      <c r="BE69" s="34"/>
      <c r="BF69" s="34"/>
      <c r="BG69" s="34"/>
      <c r="BH69" s="34"/>
      <c r="BI69" s="34">
        <v>7200</v>
      </c>
      <c r="BJ69" s="34"/>
      <c r="BK69" s="34"/>
      <c r="BL69" s="34"/>
      <c r="BM69" s="34">
        <f t="shared" si="7"/>
        <v>11100</v>
      </c>
    </row>
    <row r="70" spans="1:65" ht="74.25" x14ac:dyDescent="0.95">
      <c r="A70" s="41" t="s">
        <v>69</v>
      </c>
      <c r="B70" s="105" t="s">
        <v>192</v>
      </c>
      <c r="C70" s="106"/>
      <c r="D70" s="34"/>
      <c r="E70" s="34">
        <f>1029420+1880593</f>
        <v>2910013</v>
      </c>
      <c r="F70" s="34"/>
      <c r="G70" s="34"/>
      <c r="H70" s="34"/>
      <c r="I70" s="34"/>
      <c r="J70" s="34"/>
      <c r="K70" s="34"/>
      <c r="L70" s="34"/>
      <c r="M70" s="34"/>
      <c r="N70" s="34">
        <f>7707-7707</f>
        <v>0</v>
      </c>
      <c r="O70" s="34"/>
      <c r="P70" s="34">
        <v>55643</v>
      </c>
      <c r="Q70" s="34"/>
      <c r="R70" s="34">
        <f t="shared" si="1"/>
        <v>1040757</v>
      </c>
      <c r="S70" s="34">
        <v>1040757</v>
      </c>
      <c r="T70" s="34"/>
      <c r="U70" s="34">
        <f t="shared" si="2"/>
        <v>338907</v>
      </c>
      <c r="V70" s="34"/>
      <c r="W70" s="34">
        <v>338907</v>
      </c>
      <c r="X70" s="34"/>
      <c r="Y70" s="34"/>
      <c r="Z70" s="34"/>
      <c r="AA70" s="34"/>
      <c r="AB70" s="34"/>
      <c r="AC70" s="34"/>
      <c r="AD70" s="34"/>
      <c r="AE70" s="34">
        <f t="shared" si="10"/>
        <v>281736</v>
      </c>
      <c r="AF70" s="34">
        <v>281736</v>
      </c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>
        <v>130000</v>
      </c>
      <c r="AS70" s="34"/>
      <c r="AT70" s="34"/>
      <c r="AU70" s="34"/>
      <c r="AV70" s="34"/>
      <c r="AW70" s="34"/>
      <c r="AX70" s="34">
        <f t="shared" si="4"/>
        <v>4757056</v>
      </c>
      <c r="AY70" s="34"/>
      <c r="AZ70" s="34"/>
      <c r="BA70" s="34"/>
      <c r="BB70" s="34"/>
      <c r="BC70" s="34"/>
      <c r="BD70" s="34">
        <v>8831</v>
      </c>
      <c r="BE70" s="34"/>
      <c r="BF70" s="34"/>
      <c r="BG70" s="34"/>
      <c r="BH70" s="34"/>
      <c r="BI70" s="34">
        <v>16300</v>
      </c>
      <c r="BJ70" s="34"/>
      <c r="BK70" s="34"/>
      <c r="BL70" s="34"/>
      <c r="BM70" s="34">
        <f t="shared" si="7"/>
        <v>25131</v>
      </c>
    </row>
    <row r="71" spans="1:65" ht="74.25" x14ac:dyDescent="0.95">
      <c r="A71" s="41" t="s">
        <v>105</v>
      </c>
      <c r="B71" s="105" t="s">
        <v>193</v>
      </c>
      <c r="C71" s="106"/>
      <c r="D71" s="34"/>
      <c r="E71" s="34">
        <f>269200+488479</f>
        <v>757679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>
        <f t="shared" si="1"/>
        <v>0</v>
      </c>
      <c r="S71" s="34"/>
      <c r="T71" s="34"/>
      <c r="U71" s="34">
        <f t="shared" si="2"/>
        <v>0</v>
      </c>
      <c r="V71" s="34"/>
      <c r="W71" s="34"/>
      <c r="X71" s="34"/>
      <c r="Y71" s="34"/>
      <c r="Z71" s="34"/>
      <c r="AA71" s="34"/>
      <c r="AB71" s="34"/>
      <c r="AC71" s="34"/>
      <c r="AD71" s="34"/>
      <c r="AE71" s="34">
        <f t="shared" si="10"/>
        <v>0</v>
      </c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>
        <f t="shared" si="4"/>
        <v>757679</v>
      </c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>
        <f t="shared" si="7"/>
        <v>0</v>
      </c>
    </row>
    <row r="72" spans="1:65" ht="74.25" x14ac:dyDescent="0.95">
      <c r="A72" s="41" t="s">
        <v>104</v>
      </c>
      <c r="B72" s="105" t="s">
        <v>194</v>
      </c>
      <c r="C72" s="106"/>
      <c r="D72" s="34"/>
      <c r="E72" s="34">
        <f>1744440+3165412</f>
        <v>4909852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>
        <f t="shared" si="1"/>
        <v>1040757</v>
      </c>
      <c r="S72" s="34">
        <v>1040757</v>
      </c>
      <c r="T72" s="34"/>
      <c r="U72" s="34">
        <f t="shared" si="2"/>
        <v>4112969</v>
      </c>
      <c r="V72" s="34"/>
      <c r="W72" s="34">
        <v>112969</v>
      </c>
      <c r="X72" s="34"/>
      <c r="Y72" s="34"/>
      <c r="Z72" s="34"/>
      <c r="AA72" s="34">
        <v>1037682</v>
      </c>
      <c r="AB72" s="34"/>
      <c r="AC72" s="34"/>
      <c r="AD72" s="34">
        <v>2962318</v>
      </c>
      <c r="AE72" s="34">
        <f t="shared" si="10"/>
        <v>328692</v>
      </c>
      <c r="AF72" s="34">
        <v>328692</v>
      </c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>
        <f t="shared" si="4"/>
        <v>10392270</v>
      </c>
      <c r="AY72" s="34"/>
      <c r="AZ72" s="34"/>
      <c r="BA72" s="34"/>
      <c r="BB72" s="34"/>
      <c r="BC72" s="34"/>
      <c r="BD72" s="34">
        <f>17100</f>
        <v>17100</v>
      </c>
      <c r="BE72" s="34"/>
      <c r="BF72" s="34"/>
      <c r="BG72" s="34"/>
      <c r="BH72" s="34"/>
      <c r="BI72" s="34"/>
      <c r="BJ72" s="34"/>
      <c r="BK72" s="34"/>
      <c r="BL72" s="34"/>
      <c r="BM72" s="34">
        <f t="shared" si="7"/>
        <v>17100</v>
      </c>
    </row>
    <row r="73" spans="1:65" ht="74.25" customHeight="1" x14ac:dyDescent="0.95">
      <c r="A73" s="41" t="s">
        <v>70</v>
      </c>
      <c r="B73" s="105" t="s">
        <v>195</v>
      </c>
      <c r="C73" s="106"/>
      <c r="D73" s="34"/>
      <c r="E73" s="34">
        <f>327510+594286</f>
        <v>921796</v>
      </c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>
        <f t="shared" si="1"/>
        <v>0</v>
      </c>
      <c r="S73" s="34"/>
      <c r="T73" s="34"/>
      <c r="U73" s="34">
        <f t="shared" si="2"/>
        <v>0</v>
      </c>
      <c r="V73" s="34"/>
      <c r="W73" s="34"/>
      <c r="X73" s="34"/>
      <c r="Y73" s="34"/>
      <c r="Z73" s="34"/>
      <c r="AA73" s="34"/>
      <c r="AB73" s="34"/>
      <c r="AC73" s="34"/>
      <c r="AD73" s="34"/>
      <c r="AE73" s="34">
        <f t="shared" si="10"/>
        <v>0</v>
      </c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>
        <v>150000</v>
      </c>
      <c r="AS73" s="34"/>
      <c r="AT73" s="34"/>
      <c r="AU73" s="34"/>
      <c r="AV73" s="34"/>
      <c r="AW73" s="34"/>
      <c r="AX73" s="34">
        <f t="shared" si="4"/>
        <v>1071796</v>
      </c>
      <c r="AY73" s="34"/>
      <c r="AZ73" s="34"/>
      <c r="BA73" s="34">
        <f>350000</f>
        <v>350000</v>
      </c>
      <c r="BB73" s="34"/>
      <c r="BC73" s="34"/>
      <c r="BD73" s="34">
        <f>3300</f>
        <v>3300</v>
      </c>
      <c r="BE73" s="34"/>
      <c r="BF73" s="34"/>
      <c r="BG73" s="34"/>
      <c r="BH73" s="34"/>
      <c r="BI73" s="34"/>
      <c r="BJ73" s="34"/>
      <c r="BK73" s="34"/>
      <c r="BL73" s="34"/>
      <c r="BM73" s="34">
        <f t="shared" si="7"/>
        <v>353300</v>
      </c>
    </row>
    <row r="74" spans="1:65" ht="74.25" x14ac:dyDescent="0.95">
      <c r="A74" s="41" t="s">
        <v>102</v>
      </c>
      <c r="B74" s="105" t="s">
        <v>196</v>
      </c>
      <c r="C74" s="106"/>
      <c r="D74" s="34"/>
      <c r="E74" s="34">
        <f>1636580+3047180</f>
        <v>4683760</v>
      </c>
      <c r="F74" s="34"/>
      <c r="G74" s="34"/>
      <c r="H74" s="34"/>
      <c r="I74" s="34"/>
      <c r="J74" s="34"/>
      <c r="K74" s="34"/>
      <c r="L74" s="34"/>
      <c r="M74" s="34"/>
      <c r="N74" s="34">
        <f>330905+13529</f>
        <v>344434</v>
      </c>
      <c r="O74" s="34"/>
      <c r="P74" s="34"/>
      <c r="Q74" s="34"/>
      <c r="R74" s="34">
        <f t="shared" si="1"/>
        <v>0</v>
      </c>
      <c r="S74" s="34"/>
      <c r="T74" s="34"/>
      <c r="U74" s="34">
        <f t="shared" si="2"/>
        <v>4000000</v>
      </c>
      <c r="V74" s="34"/>
      <c r="W74" s="34"/>
      <c r="X74" s="34"/>
      <c r="Y74" s="34"/>
      <c r="Z74" s="34"/>
      <c r="AA74" s="34">
        <v>1037682</v>
      </c>
      <c r="AB74" s="34"/>
      <c r="AC74" s="34"/>
      <c r="AD74" s="34">
        <v>2962318</v>
      </c>
      <c r="AE74" s="34">
        <f t="shared" si="10"/>
        <v>0</v>
      </c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>
        <v>204000</v>
      </c>
      <c r="AS74" s="34"/>
      <c r="AT74" s="34"/>
      <c r="AU74" s="34"/>
      <c r="AV74" s="34"/>
      <c r="AW74" s="34"/>
      <c r="AX74" s="34">
        <f t="shared" si="4"/>
        <v>9232194</v>
      </c>
      <c r="AY74" s="34"/>
      <c r="AZ74" s="34"/>
      <c r="BA74" s="34"/>
      <c r="BB74" s="34"/>
      <c r="BC74" s="34"/>
      <c r="BD74" s="34">
        <f>8200</f>
        <v>8200</v>
      </c>
      <c r="BE74" s="34"/>
      <c r="BF74" s="34"/>
      <c r="BG74" s="34"/>
      <c r="BH74" s="34"/>
      <c r="BI74" s="34"/>
      <c r="BJ74" s="34"/>
      <c r="BK74" s="34"/>
      <c r="BL74" s="34"/>
      <c r="BM74" s="34">
        <f t="shared" si="7"/>
        <v>8200</v>
      </c>
    </row>
    <row r="75" spans="1:65" ht="74.25" x14ac:dyDescent="0.95">
      <c r="A75" s="41" t="s">
        <v>98</v>
      </c>
      <c r="B75" s="105" t="s">
        <v>197</v>
      </c>
      <c r="C75" s="106"/>
      <c r="D75" s="34"/>
      <c r="E75" s="34">
        <f>2287060+4147286</f>
        <v>6434346</v>
      </c>
      <c r="F75" s="34"/>
      <c r="G75" s="34"/>
      <c r="H75" s="34"/>
      <c r="I75" s="34"/>
      <c r="J75" s="34"/>
      <c r="K75" s="34"/>
      <c r="L75" s="34"/>
      <c r="M75" s="34"/>
      <c r="N75" s="34">
        <v>538698</v>
      </c>
      <c r="O75" s="34"/>
      <c r="P75" s="34">
        <v>170611</v>
      </c>
      <c r="Q75" s="34"/>
      <c r="R75" s="34">
        <f t="shared" si="1"/>
        <v>1040757</v>
      </c>
      <c r="S75" s="34">
        <v>1040757</v>
      </c>
      <c r="T75" s="34"/>
      <c r="U75" s="34">
        <f t="shared" si="2"/>
        <v>338907</v>
      </c>
      <c r="V75" s="34"/>
      <c r="W75" s="34">
        <v>338907</v>
      </c>
      <c r="X75" s="34"/>
      <c r="Y75" s="34"/>
      <c r="Z75" s="34"/>
      <c r="AA75" s="34"/>
      <c r="AB75" s="34"/>
      <c r="AC75" s="34"/>
      <c r="AD75" s="34"/>
      <c r="AE75" s="34">
        <f t="shared" si="10"/>
        <v>211302</v>
      </c>
      <c r="AF75" s="34">
        <v>211302</v>
      </c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>
        <v>30000</v>
      </c>
      <c r="AS75" s="34"/>
      <c r="AT75" s="34"/>
      <c r="AU75" s="34"/>
      <c r="AV75" s="34"/>
      <c r="AW75" s="34"/>
      <c r="AX75" s="34">
        <f t="shared" si="4"/>
        <v>8764621</v>
      </c>
      <c r="AY75" s="34"/>
      <c r="AZ75" s="34"/>
      <c r="BA75" s="34"/>
      <c r="BB75" s="34"/>
      <c r="BC75" s="34"/>
      <c r="BD75" s="34">
        <f>14700</f>
        <v>14700</v>
      </c>
      <c r="BE75" s="34"/>
      <c r="BF75" s="34"/>
      <c r="BG75" s="34"/>
      <c r="BH75" s="34"/>
      <c r="BI75" s="34"/>
      <c r="BJ75" s="34"/>
      <c r="BK75" s="34"/>
      <c r="BL75" s="34"/>
      <c r="BM75" s="34">
        <f t="shared" si="7"/>
        <v>14700</v>
      </c>
    </row>
    <row r="76" spans="1:65" ht="74.25" x14ac:dyDescent="0.95">
      <c r="A76" s="41" t="s">
        <v>71</v>
      </c>
      <c r="B76" s="105" t="s">
        <v>198</v>
      </c>
      <c r="C76" s="106"/>
      <c r="D76" s="34"/>
      <c r="E76" s="34">
        <f>2030370+3780556</f>
        <v>5810926</v>
      </c>
      <c r="F76" s="34"/>
      <c r="G76" s="34"/>
      <c r="H76" s="34"/>
      <c r="I76" s="34"/>
      <c r="J76" s="34"/>
      <c r="K76" s="34"/>
      <c r="L76" s="34"/>
      <c r="M76" s="34"/>
      <c r="N76" s="34">
        <v>682545</v>
      </c>
      <c r="O76" s="34"/>
      <c r="P76" s="34">
        <v>55199</v>
      </c>
      <c r="Q76" s="34"/>
      <c r="R76" s="34">
        <f t="shared" si="1"/>
        <v>1040757</v>
      </c>
      <c r="S76" s="34">
        <v>1040757</v>
      </c>
      <c r="T76" s="34"/>
      <c r="U76" s="34">
        <f t="shared" si="2"/>
        <v>451876</v>
      </c>
      <c r="V76" s="34"/>
      <c r="W76" s="34">
        <v>451876</v>
      </c>
      <c r="X76" s="34"/>
      <c r="Y76" s="34"/>
      <c r="Z76" s="34"/>
      <c r="AA76" s="34"/>
      <c r="AB76" s="34"/>
      <c r="AC76" s="34"/>
      <c r="AD76" s="34"/>
      <c r="AE76" s="34">
        <f t="shared" si="10"/>
        <v>234780</v>
      </c>
      <c r="AF76" s="34">
        <v>234780</v>
      </c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>
        <v>200000</v>
      </c>
      <c r="AS76" s="34"/>
      <c r="AT76" s="34"/>
      <c r="AU76" s="34"/>
      <c r="AV76" s="34"/>
      <c r="AW76" s="34"/>
      <c r="AX76" s="34">
        <f t="shared" si="4"/>
        <v>8476083</v>
      </c>
      <c r="AY76" s="34"/>
      <c r="AZ76" s="34"/>
      <c r="BA76" s="34"/>
      <c r="BB76" s="34"/>
      <c r="BC76" s="34"/>
      <c r="BD76" s="34">
        <f>15000</f>
        <v>15000</v>
      </c>
      <c r="BE76" s="34"/>
      <c r="BF76" s="34"/>
      <c r="BG76" s="34"/>
      <c r="BH76" s="34"/>
      <c r="BI76" s="34"/>
      <c r="BJ76" s="34"/>
      <c r="BK76" s="34"/>
      <c r="BL76" s="34"/>
      <c r="BM76" s="34">
        <f t="shared" si="7"/>
        <v>15000</v>
      </c>
    </row>
    <row r="77" spans="1:65" ht="74.25" customHeight="1" x14ac:dyDescent="0.95">
      <c r="A77" s="41" t="s">
        <v>246</v>
      </c>
      <c r="B77" s="49" t="s">
        <v>247</v>
      </c>
      <c r="C77" s="65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>
        <f>5653</f>
        <v>5653</v>
      </c>
      <c r="Q77" s="34"/>
      <c r="R77" s="34"/>
      <c r="S77" s="34"/>
      <c r="T77" s="34"/>
      <c r="U77" s="34">
        <f t="shared" si="2"/>
        <v>0</v>
      </c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>
        <f t="shared" si="4"/>
        <v>5653</v>
      </c>
      <c r="AY77" s="34"/>
      <c r="AZ77" s="34"/>
      <c r="BA77" s="34"/>
      <c r="BB77" s="34"/>
      <c r="BC77" s="34"/>
      <c r="BD77" s="34">
        <f>2500</f>
        <v>2500</v>
      </c>
      <c r="BE77" s="34"/>
      <c r="BF77" s="34"/>
      <c r="BG77" s="34"/>
      <c r="BH77" s="34"/>
      <c r="BI77" s="34"/>
      <c r="BJ77" s="34"/>
      <c r="BK77" s="34"/>
      <c r="BL77" s="34"/>
      <c r="BM77" s="34">
        <f t="shared" ref="BM77:BM108" si="11">SUM(AY77:BL77)</f>
        <v>2500</v>
      </c>
    </row>
    <row r="78" spans="1:65" ht="74.25" x14ac:dyDescent="0.95">
      <c r="A78" s="41" t="s">
        <v>72</v>
      </c>
      <c r="B78" s="105" t="s">
        <v>199</v>
      </c>
      <c r="C78" s="106"/>
      <c r="D78" s="34"/>
      <c r="E78" s="34">
        <f>312930+567834</f>
        <v>880764</v>
      </c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>
        <f t="shared" si="1"/>
        <v>0</v>
      </c>
      <c r="S78" s="34"/>
      <c r="T78" s="34"/>
      <c r="U78" s="34">
        <f t="shared" ref="U78:U113" si="12">V78+W78+X78+Y78+Z78+AA78+AB78+AC78+AD78</f>
        <v>0</v>
      </c>
      <c r="V78" s="34"/>
      <c r="W78" s="34"/>
      <c r="X78" s="34"/>
      <c r="Y78" s="34"/>
      <c r="Z78" s="34"/>
      <c r="AA78" s="34"/>
      <c r="AB78" s="34"/>
      <c r="AC78" s="34"/>
      <c r="AD78" s="34"/>
      <c r="AE78" s="34">
        <f t="shared" si="10"/>
        <v>0</v>
      </c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>
        <v>150000</v>
      </c>
      <c r="AS78" s="34"/>
      <c r="AT78" s="34"/>
      <c r="AU78" s="34"/>
      <c r="AV78" s="34"/>
      <c r="AW78" s="34"/>
      <c r="AX78" s="34">
        <f t="shared" ref="AX78:AX114" si="13">SUM(D78:AW78)-S78-T78-AF78-AG78-M78-V78-W78-X78-Y78-Z78-AA78-AB78-AC78-AD78-AP78</f>
        <v>1030764</v>
      </c>
      <c r="AY78" s="34"/>
      <c r="AZ78" s="34"/>
      <c r="BA78" s="34"/>
      <c r="BB78" s="34"/>
      <c r="BC78" s="34"/>
      <c r="BD78" s="34">
        <f>4100</f>
        <v>4100</v>
      </c>
      <c r="BE78" s="34"/>
      <c r="BF78" s="34"/>
      <c r="BG78" s="34"/>
      <c r="BH78" s="34"/>
      <c r="BI78" s="34"/>
      <c r="BJ78" s="34"/>
      <c r="BK78" s="34"/>
      <c r="BL78" s="34"/>
      <c r="BM78" s="34">
        <f t="shared" si="11"/>
        <v>4100</v>
      </c>
    </row>
    <row r="79" spans="1:65" ht="74.25" x14ac:dyDescent="0.95">
      <c r="A79" s="41" t="s">
        <v>73</v>
      </c>
      <c r="B79" s="105" t="s">
        <v>200</v>
      </c>
      <c r="C79" s="106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>
        <f t="shared" ref="R79:R113" si="14">S79+T79</f>
        <v>1040757</v>
      </c>
      <c r="S79" s="34">
        <v>1040757</v>
      </c>
      <c r="T79" s="34"/>
      <c r="U79" s="34">
        <f t="shared" si="12"/>
        <v>0</v>
      </c>
      <c r="V79" s="34"/>
      <c r="W79" s="34"/>
      <c r="X79" s="34"/>
      <c r="Y79" s="34"/>
      <c r="Z79" s="34"/>
      <c r="AA79" s="34"/>
      <c r="AB79" s="34"/>
      <c r="AC79" s="34"/>
      <c r="AD79" s="34"/>
      <c r="AE79" s="34">
        <f t="shared" si="10"/>
        <v>0</v>
      </c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>
        <v>245000</v>
      </c>
      <c r="AS79" s="34"/>
      <c r="AT79" s="34"/>
      <c r="AU79" s="34"/>
      <c r="AV79" s="34"/>
      <c r="AW79" s="34"/>
      <c r="AX79" s="34">
        <f t="shared" si="13"/>
        <v>1285757</v>
      </c>
      <c r="AY79" s="34"/>
      <c r="AZ79" s="34"/>
      <c r="BA79" s="34"/>
      <c r="BB79" s="34"/>
      <c r="BC79" s="34"/>
      <c r="BD79" s="34">
        <f>3600</f>
        <v>3600</v>
      </c>
      <c r="BE79" s="34"/>
      <c r="BF79" s="34"/>
      <c r="BG79" s="34"/>
      <c r="BH79" s="34"/>
      <c r="BI79" s="34"/>
      <c r="BJ79" s="34"/>
      <c r="BK79" s="34"/>
      <c r="BL79" s="34"/>
      <c r="BM79" s="34">
        <f t="shared" si="11"/>
        <v>3600</v>
      </c>
    </row>
    <row r="80" spans="1:65" ht="74.25" x14ac:dyDescent="0.95">
      <c r="A80" s="41" t="s">
        <v>74</v>
      </c>
      <c r="B80" s="105" t="s">
        <v>201</v>
      </c>
      <c r="C80" s="106"/>
      <c r="D80" s="34"/>
      <c r="E80" s="34">
        <f>384850+698330</f>
        <v>1083180</v>
      </c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>
        <f t="shared" si="14"/>
        <v>0</v>
      </c>
      <c r="S80" s="34"/>
      <c r="T80" s="34"/>
      <c r="U80" s="34">
        <f t="shared" si="12"/>
        <v>112969</v>
      </c>
      <c r="V80" s="34"/>
      <c r="W80" s="34">
        <v>112969</v>
      </c>
      <c r="X80" s="34"/>
      <c r="Y80" s="34"/>
      <c r="Z80" s="34"/>
      <c r="AA80" s="34"/>
      <c r="AB80" s="34"/>
      <c r="AC80" s="34"/>
      <c r="AD80" s="34"/>
      <c r="AE80" s="34">
        <f t="shared" si="10"/>
        <v>46956</v>
      </c>
      <c r="AF80" s="34">
        <v>46956</v>
      </c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>
        <v>300000</v>
      </c>
      <c r="AS80" s="34"/>
      <c r="AT80" s="34"/>
      <c r="AU80" s="34"/>
      <c r="AV80" s="34"/>
      <c r="AW80" s="34"/>
      <c r="AX80" s="34">
        <f t="shared" si="13"/>
        <v>1543105</v>
      </c>
      <c r="AY80" s="34"/>
      <c r="AZ80" s="34"/>
      <c r="BA80" s="34"/>
      <c r="BB80" s="34"/>
      <c r="BC80" s="34"/>
      <c r="BD80" s="34">
        <f>4300</f>
        <v>4300</v>
      </c>
      <c r="BE80" s="34"/>
      <c r="BF80" s="34"/>
      <c r="BG80" s="34"/>
      <c r="BH80" s="34"/>
      <c r="BI80" s="34"/>
      <c r="BJ80" s="34"/>
      <c r="BK80" s="34"/>
      <c r="BL80" s="34"/>
      <c r="BM80" s="34">
        <f t="shared" si="11"/>
        <v>4300</v>
      </c>
    </row>
    <row r="81" spans="1:65" ht="74.25" customHeight="1" x14ac:dyDescent="0.95">
      <c r="A81" s="41" t="s">
        <v>75</v>
      </c>
      <c r="B81" s="105" t="s">
        <v>202</v>
      </c>
      <c r="C81" s="106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>
        <f t="shared" si="14"/>
        <v>0</v>
      </c>
      <c r="S81" s="34"/>
      <c r="T81" s="34"/>
      <c r="U81" s="34">
        <f t="shared" si="12"/>
        <v>0</v>
      </c>
      <c r="V81" s="34"/>
      <c r="W81" s="34"/>
      <c r="X81" s="34"/>
      <c r="Y81" s="34"/>
      <c r="Z81" s="34"/>
      <c r="AA81" s="34"/>
      <c r="AB81" s="34"/>
      <c r="AC81" s="34"/>
      <c r="AD81" s="34"/>
      <c r="AE81" s="34">
        <f t="shared" si="10"/>
        <v>0</v>
      </c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>
        <v>100000</v>
      </c>
      <c r="AS81" s="34"/>
      <c r="AT81" s="34"/>
      <c r="AU81" s="34"/>
      <c r="AV81" s="34"/>
      <c r="AW81" s="34"/>
      <c r="AX81" s="34">
        <f t="shared" si="13"/>
        <v>100000</v>
      </c>
      <c r="AY81" s="34"/>
      <c r="AZ81" s="34"/>
      <c r="BA81" s="34"/>
      <c r="BB81" s="34"/>
      <c r="BC81" s="34"/>
      <c r="BD81" s="34">
        <v>2800</v>
      </c>
      <c r="BE81" s="34"/>
      <c r="BF81" s="34"/>
      <c r="BG81" s="34"/>
      <c r="BH81" s="34"/>
      <c r="BI81" s="34"/>
      <c r="BJ81" s="34"/>
      <c r="BK81" s="34"/>
      <c r="BL81" s="34"/>
      <c r="BM81" s="34">
        <f t="shared" si="11"/>
        <v>2800</v>
      </c>
    </row>
    <row r="82" spans="1:65" ht="74.25" x14ac:dyDescent="0.95">
      <c r="A82" s="41" t="s">
        <v>76</v>
      </c>
      <c r="B82" s="105" t="s">
        <v>203</v>
      </c>
      <c r="C82" s="106"/>
      <c r="D82" s="34"/>
      <c r="E82" s="34">
        <f>232270+421467</f>
        <v>653737</v>
      </c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>
        <f t="shared" si="14"/>
        <v>0</v>
      </c>
      <c r="S82" s="34"/>
      <c r="T82" s="34"/>
      <c r="U82" s="34">
        <f t="shared" si="12"/>
        <v>2000000</v>
      </c>
      <c r="V82" s="34"/>
      <c r="W82" s="34"/>
      <c r="X82" s="34"/>
      <c r="Y82" s="34"/>
      <c r="Z82" s="34"/>
      <c r="AA82" s="34">
        <v>1037682</v>
      </c>
      <c r="AB82" s="34"/>
      <c r="AC82" s="34"/>
      <c r="AD82" s="34">
        <v>962318</v>
      </c>
      <c r="AE82" s="34">
        <f t="shared" si="10"/>
        <v>0</v>
      </c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>
        <v>132000</v>
      </c>
      <c r="AS82" s="34"/>
      <c r="AT82" s="34"/>
      <c r="AU82" s="34"/>
      <c r="AV82" s="34"/>
      <c r="AW82" s="34"/>
      <c r="AX82" s="34">
        <f t="shared" si="13"/>
        <v>2785737</v>
      </c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>
        <f t="shared" si="11"/>
        <v>0</v>
      </c>
    </row>
    <row r="83" spans="1:65" ht="74.25" x14ac:dyDescent="0.95">
      <c r="A83" s="41" t="s">
        <v>77</v>
      </c>
      <c r="B83" s="105" t="s">
        <v>204</v>
      </c>
      <c r="C83" s="106"/>
      <c r="D83" s="34"/>
      <c r="E83" s="34">
        <f>279890+507877</f>
        <v>787767</v>
      </c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>
        <f t="shared" si="14"/>
        <v>0</v>
      </c>
      <c r="S83" s="34"/>
      <c r="T83" s="34"/>
      <c r="U83" s="34">
        <f t="shared" si="12"/>
        <v>112969</v>
      </c>
      <c r="V83" s="34"/>
      <c r="W83" s="34">
        <v>112969</v>
      </c>
      <c r="X83" s="34"/>
      <c r="Y83" s="34"/>
      <c r="Z83" s="34"/>
      <c r="AA83" s="34"/>
      <c r="AB83" s="34"/>
      <c r="AC83" s="34"/>
      <c r="AD83" s="34"/>
      <c r="AE83" s="34">
        <f t="shared" si="10"/>
        <v>46956</v>
      </c>
      <c r="AF83" s="34">
        <v>46956</v>
      </c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>
        <v>145000</v>
      </c>
      <c r="AS83" s="34"/>
      <c r="AT83" s="34"/>
      <c r="AU83" s="34"/>
      <c r="AV83" s="34"/>
      <c r="AW83" s="34">
        <f>700000</f>
        <v>700000</v>
      </c>
      <c r="AX83" s="34">
        <f t="shared" si="13"/>
        <v>1792692</v>
      </c>
      <c r="AY83" s="34"/>
      <c r="AZ83" s="34"/>
      <c r="BA83" s="34"/>
      <c r="BB83" s="34"/>
      <c r="BC83" s="34"/>
      <c r="BD83" s="34">
        <f>3000</f>
        <v>3000</v>
      </c>
      <c r="BE83" s="34"/>
      <c r="BF83" s="34"/>
      <c r="BG83" s="34"/>
      <c r="BH83" s="34"/>
      <c r="BI83" s="34">
        <v>5500</v>
      </c>
      <c r="BJ83" s="34">
        <v>10800</v>
      </c>
      <c r="BK83" s="34"/>
      <c r="BL83" s="34"/>
      <c r="BM83" s="34">
        <f t="shared" si="11"/>
        <v>19300</v>
      </c>
    </row>
    <row r="84" spans="1:65" ht="141.75" customHeight="1" x14ac:dyDescent="0.95">
      <c r="A84" s="41" t="s">
        <v>88</v>
      </c>
      <c r="B84" s="105" t="s">
        <v>205</v>
      </c>
      <c r="C84" s="106"/>
      <c r="D84" s="34"/>
      <c r="E84" s="34">
        <f>268230+486715</f>
        <v>754945</v>
      </c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>
        <f t="shared" si="14"/>
        <v>0</v>
      </c>
      <c r="S84" s="34"/>
      <c r="T84" s="34"/>
      <c r="U84" s="34">
        <f t="shared" si="12"/>
        <v>0</v>
      </c>
      <c r="V84" s="34"/>
      <c r="W84" s="34"/>
      <c r="X84" s="34"/>
      <c r="Y84" s="34"/>
      <c r="Z84" s="34"/>
      <c r="AA84" s="34"/>
      <c r="AB84" s="34"/>
      <c r="AC84" s="34"/>
      <c r="AD84" s="34"/>
      <c r="AE84" s="34">
        <f t="shared" si="10"/>
        <v>0</v>
      </c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>
        <v>150000</v>
      </c>
      <c r="AS84" s="34"/>
      <c r="AT84" s="34"/>
      <c r="AU84" s="34"/>
      <c r="AV84" s="34"/>
      <c r="AW84" s="34"/>
      <c r="AX84" s="34">
        <f t="shared" si="13"/>
        <v>904945</v>
      </c>
      <c r="AY84" s="34"/>
      <c r="AZ84" s="34"/>
      <c r="BA84" s="34"/>
      <c r="BB84" s="34"/>
      <c r="BC84" s="34"/>
      <c r="BD84" s="34">
        <f>3600</f>
        <v>3600</v>
      </c>
      <c r="BE84" s="34"/>
      <c r="BF84" s="34"/>
      <c r="BG84" s="34"/>
      <c r="BH84" s="34"/>
      <c r="BI84" s="34"/>
      <c r="BJ84" s="34"/>
      <c r="BK84" s="34"/>
      <c r="BL84" s="34"/>
      <c r="BM84" s="34">
        <f t="shared" si="11"/>
        <v>3600</v>
      </c>
    </row>
    <row r="85" spans="1:65" ht="74.25" customHeight="1" x14ac:dyDescent="0.95">
      <c r="A85" s="41" t="s">
        <v>109</v>
      </c>
      <c r="B85" s="105" t="s">
        <v>206</v>
      </c>
      <c r="C85" s="106"/>
      <c r="D85" s="34"/>
      <c r="E85" s="34">
        <f>1652120+2997883</f>
        <v>4650003</v>
      </c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>
        <f t="shared" si="14"/>
        <v>0</v>
      </c>
      <c r="S85" s="34"/>
      <c r="T85" s="34"/>
      <c r="U85" s="34">
        <f t="shared" si="12"/>
        <v>0</v>
      </c>
      <c r="V85" s="34"/>
      <c r="W85" s="34"/>
      <c r="X85" s="34"/>
      <c r="Y85" s="34"/>
      <c r="Z85" s="34"/>
      <c r="AA85" s="34"/>
      <c r="AB85" s="34"/>
      <c r="AC85" s="34"/>
      <c r="AD85" s="34"/>
      <c r="AE85" s="34">
        <f t="shared" si="10"/>
        <v>0</v>
      </c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>
        <f t="shared" si="13"/>
        <v>4650003</v>
      </c>
      <c r="AY85" s="34"/>
      <c r="AZ85" s="34"/>
      <c r="BA85" s="34"/>
      <c r="BB85" s="34"/>
      <c r="BC85" s="34"/>
      <c r="BD85" s="34">
        <f>17500</f>
        <v>17500</v>
      </c>
      <c r="BE85" s="34"/>
      <c r="BF85" s="34"/>
      <c r="BG85" s="34"/>
      <c r="BH85" s="34"/>
      <c r="BI85" s="34"/>
      <c r="BJ85" s="34"/>
      <c r="BK85" s="34"/>
      <c r="BL85" s="34"/>
      <c r="BM85" s="34">
        <f t="shared" si="11"/>
        <v>17500</v>
      </c>
    </row>
    <row r="86" spans="1:65" ht="74.25" x14ac:dyDescent="0.95">
      <c r="A86" s="41" t="s">
        <v>86</v>
      </c>
      <c r="B86" s="105" t="s">
        <v>207</v>
      </c>
      <c r="C86" s="106"/>
      <c r="D86" s="34"/>
      <c r="E86" s="34">
        <f>1882540+3499689</f>
        <v>5382229</v>
      </c>
      <c r="F86" s="34"/>
      <c r="G86" s="34"/>
      <c r="H86" s="34"/>
      <c r="I86" s="34"/>
      <c r="J86" s="34"/>
      <c r="K86" s="34"/>
      <c r="L86" s="34"/>
      <c r="M86" s="34"/>
      <c r="N86" s="34">
        <v>709967</v>
      </c>
      <c r="O86" s="34"/>
      <c r="P86" s="34">
        <v>101883</v>
      </c>
      <c r="Q86" s="34"/>
      <c r="R86" s="34">
        <f t="shared" si="14"/>
        <v>1040757</v>
      </c>
      <c r="S86" s="34">
        <v>1040757</v>
      </c>
      <c r="T86" s="34"/>
      <c r="U86" s="34">
        <f t="shared" si="12"/>
        <v>677815</v>
      </c>
      <c r="V86" s="34"/>
      <c r="W86" s="34">
        <v>677815</v>
      </c>
      <c r="X86" s="34"/>
      <c r="Y86" s="34"/>
      <c r="Z86" s="34"/>
      <c r="AA86" s="34"/>
      <c r="AB86" s="34"/>
      <c r="AC86" s="34"/>
      <c r="AD86" s="34"/>
      <c r="AE86" s="34">
        <f t="shared" si="10"/>
        <v>164346</v>
      </c>
      <c r="AF86" s="34">
        <v>164346</v>
      </c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>
        <v>503000</v>
      </c>
      <c r="AS86" s="34"/>
      <c r="AT86" s="34"/>
      <c r="AU86" s="34"/>
      <c r="AV86" s="34"/>
      <c r="AW86" s="34"/>
      <c r="AX86" s="34">
        <f t="shared" si="13"/>
        <v>8579997</v>
      </c>
      <c r="AY86" s="34"/>
      <c r="AZ86" s="34"/>
      <c r="BA86" s="34"/>
      <c r="BB86" s="34"/>
      <c r="BC86" s="34"/>
      <c r="BD86" s="34">
        <v>15600</v>
      </c>
      <c r="BE86" s="34"/>
      <c r="BF86" s="34"/>
      <c r="BG86" s="34"/>
      <c r="BH86" s="34"/>
      <c r="BI86" s="34"/>
      <c r="BJ86" s="34"/>
      <c r="BK86" s="34"/>
      <c r="BL86" s="34"/>
      <c r="BM86" s="34">
        <f t="shared" si="11"/>
        <v>15600</v>
      </c>
    </row>
    <row r="87" spans="1:65" ht="74.25" x14ac:dyDescent="0.95">
      <c r="A87" s="41" t="s">
        <v>85</v>
      </c>
      <c r="B87" s="105" t="s">
        <v>208</v>
      </c>
      <c r="C87" s="106"/>
      <c r="D87" s="34"/>
      <c r="E87" s="34">
        <f>345970+627792</f>
        <v>973762</v>
      </c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>
        <f t="shared" si="14"/>
        <v>0</v>
      </c>
      <c r="S87" s="34"/>
      <c r="T87" s="34"/>
      <c r="U87" s="34">
        <f t="shared" si="12"/>
        <v>338907</v>
      </c>
      <c r="V87" s="34"/>
      <c r="W87" s="34">
        <v>338907</v>
      </c>
      <c r="X87" s="34"/>
      <c r="Y87" s="34"/>
      <c r="Z87" s="34"/>
      <c r="AA87" s="34"/>
      <c r="AB87" s="34"/>
      <c r="AC87" s="34"/>
      <c r="AD87" s="34"/>
      <c r="AE87" s="34">
        <f t="shared" si="10"/>
        <v>93912</v>
      </c>
      <c r="AF87" s="34">
        <v>93912</v>
      </c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>
        <v>110000</v>
      </c>
      <c r="AS87" s="34"/>
      <c r="AT87" s="34"/>
      <c r="AU87" s="34"/>
      <c r="AV87" s="34"/>
      <c r="AW87" s="34"/>
      <c r="AX87" s="34">
        <f t="shared" si="13"/>
        <v>1516581</v>
      </c>
      <c r="AY87" s="34"/>
      <c r="AZ87" s="34"/>
      <c r="BA87" s="34"/>
      <c r="BB87" s="34"/>
      <c r="BC87" s="34"/>
      <c r="BD87" s="34">
        <f>3800</f>
        <v>3800</v>
      </c>
      <c r="BE87" s="34"/>
      <c r="BF87" s="34"/>
      <c r="BG87" s="34"/>
      <c r="BH87" s="34"/>
      <c r="BI87" s="34">
        <f>6900</f>
        <v>6900</v>
      </c>
      <c r="BJ87" s="34"/>
      <c r="BK87" s="34"/>
      <c r="BL87" s="34"/>
      <c r="BM87" s="34">
        <f t="shared" si="11"/>
        <v>10700</v>
      </c>
    </row>
    <row r="88" spans="1:65" ht="74.25" x14ac:dyDescent="0.95">
      <c r="A88" s="41" t="s">
        <v>90</v>
      </c>
      <c r="B88" s="105" t="s">
        <v>209</v>
      </c>
      <c r="C88" s="106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>
        <f t="shared" si="14"/>
        <v>0</v>
      </c>
      <c r="S88" s="34"/>
      <c r="T88" s="34"/>
      <c r="U88" s="34">
        <f t="shared" si="12"/>
        <v>0</v>
      </c>
      <c r="V88" s="34"/>
      <c r="W88" s="34"/>
      <c r="X88" s="34"/>
      <c r="Y88" s="34"/>
      <c r="Z88" s="34"/>
      <c r="AA88" s="34"/>
      <c r="AB88" s="34"/>
      <c r="AC88" s="34"/>
      <c r="AD88" s="34"/>
      <c r="AE88" s="34">
        <f t="shared" si="10"/>
        <v>0</v>
      </c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>
        <v>225000</v>
      </c>
      <c r="AS88" s="34"/>
      <c r="AT88" s="34"/>
      <c r="AU88" s="34"/>
      <c r="AV88" s="34"/>
      <c r="AW88" s="34"/>
      <c r="AX88" s="34">
        <f t="shared" si="13"/>
        <v>225000</v>
      </c>
      <c r="AY88" s="34"/>
      <c r="AZ88" s="34"/>
      <c r="BA88" s="34"/>
      <c r="BB88" s="34"/>
      <c r="BC88" s="34"/>
      <c r="BD88" s="34">
        <f>4100</f>
        <v>4100</v>
      </c>
      <c r="BE88" s="34"/>
      <c r="BF88" s="34"/>
      <c r="BG88" s="34"/>
      <c r="BH88" s="34"/>
      <c r="BI88" s="34"/>
      <c r="BJ88" s="34"/>
      <c r="BK88" s="34"/>
      <c r="BL88" s="34"/>
      <c r="BM88" s="34">
        <f t="shared" si="11"/>
        <v>4100</v>
      </c>
    </row>
    <row r="89" spans="1:65" ht="74.25" customHeight="1" x14ac:dyDescent="0.95">
      <c r="A89" s="41" t="s">
        <v>95</v>
      </c>
      <c r="B89" s="105" t="s">
        <v>210</v>
      </c>
      <c r="C89" s="106"/>
      <c r="D89" s="34"/>
      <c r="E89" s="34">
        <f>1174950+2132024</f>
        <v>3306974</v>
      </c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>
        <f t="shared" si="14"/>
        <v>0</v>
      </c>
      <c r="S89" s="34"/>
      <c r="T89" s="34"/>
      <c r="U89" s="34">
        <f t="shared" si="12"/>
        <v>548756</v>
      </c>
      <c r="V89" s="34"/>
      <c r="W89" s="34">
        <v>225938</v>
      </c>
      <c r="X89" s="34">
        <v>322818</v>
      </c>
      <c r="Y89" s="34"/>
      <c r="Z89" s="34"/>
      <c r="AA89" s="34"/>
      <c r="AB89" s="34"/>
      <c r="AC89" s="34"/>
      <c r="AD89" s="34"/>
      <c r="AE89" s="34">
        <f t="shared" si="10"/>
        <v>375648</v>
      </c>
      <c r="AF89" s="34">
        <v>375648</v>
      </c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>
        <v>290000</v>
      </c>
      <c r="AS89" s="34"/>
      <c r="AT89" s="34"/>
      <c r="AU89" s="34"/>
      <c r="AV89" s="34"/>
      <c r="AW89" s="34">
        <f>700000</f>
        <v>700000</v>
      </c>
      <c r="AX89" s="34">
        <f t="shared" si="13"/>
        <v>5221378</v>
      </c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>
        <f>24200</f>
        <v>24200</v>
      </c>
      <c r="BJ89" s="34"/>
      <c r="BK89" s="34"/>
      <c r="BL89" s="34"/>
      <c r="BM89" s="34">
        <f t="shared" si="11"/>
        <v>24200</v>
      </c>
    </row>
    <row r="90" spans="1:65" ht="74.25" x14ac:dyDescent="0.95">
      <c r="A90" s="41" t="s">
        <v>87</v>
      </c>
      <c r="B90" s="105" t="s">
        <v>211</v>
      </c>
      <c r="C90" s="106"/>
      <c r="D90" s="34"/>
      <c r="E90" s="34">
        <f>625860+1135669</f>
        <v>1761529</v>
      </c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>
        <f t="shared" si="14"/>
        <v>0</v>
      </c>
      <c r="S90" s="34"/>
      <c r="T90" s="34"/>
      <c r="U90" s="34">
        <f t="shared" si="12"/>
        <v>338907</v>
      </c>
      <c r="V90" s="34"/>
      <c r="W90" s="34">
        <v>338907</v>
      </c>
      <c r="X90" s="34"/>
      <c r="Y90" s="34"/>
      <c r="Z90" s="34"/>
      <c r="AA90" s="34"/>
      <c r="AB90" s="34"/>
      <c r="AC90" s="34"/>
      <c r="AD90" s="34"/>
      <c r="AE90" s="34">
        <f t="shared" si="10"/>
        <v>70434</v>
      </c>
      <c r="AF90" s="34">
        <v>70434</v>
      </c>
      <c r="AG90" s="34"/>
      <c r="AH90" s="34"/>
      <c r="AI90" s="34"/>
      <c r="AJ90" s="34"/>
      <c r="AK90" s="34"/>
      <c r="AL90" s="34"/>
      <c r="AM90" s="34"/>
      <c r="AN90" s="34"/>
      <c r="AO90" s="34">
        <v>0</v>
      </c>
      <c r="AP90" s="34"/>
      <c r="AQ90" s="34"/>
      <c r="AR90" s="34">
        <v>100000</v>
      </c>
      <c r="AS90" s="34"/>
      <c r="AT90" s="34"/>
      <c r="AU90" s="34"/>
      <c r="AV90" s="34"/>
      <c r="AW90" s="34"/>
      <c r="AX90" s="34">
        <f t="shared" si="13"/>
        <v>2270870</v>
      </c>
      <c r="AY90" s="34"/>
      <c r="AZ90" s="34"/>
      <c r="BA90" s="34"/>
      <c r="BB90" s="34"/>
      <c r="BC90" s="34"/>
      <c r="BD90" s="34">
        <f>7100</f>
        <v>7100</v>
      </c>
      <c r="BE90" s="34"/>
      <c r="BF90" s="34"/>
      <c r="BG90" s="34"/>
      <c r="BH90" s="34"/>
      <c r="BI90" s="34">
        <f>13100</f>
        <v>13100</v>
      </c>
      <c r="BJ90" s="34"/>
      <c r="BK90" s="34"/>
      <c r="BL90" s="34"/>
      <c r="BM90" s="34">
        <f t="shared" si="11"/>
        <v>20200</v>
      </c>
    </row>
    <row r="91" spans="1:65" ht="74.25" x14ac:dyDescent="0.95">
      <c r="A91" s="41" t="s">
        <v>94</v>
      </c>
      <c r="B91" s="105" t="s">
        <v>212</v>
      </c>
      <c r="C91" s="106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>
        <f t="shared" si="14"/>
        <v>0</v>
      </c>
      <c r="S91" s="34"/>
      <c r="T91" s="34"/>
      <c r="U91" s="34">
        <f t="shared" si="12"/>
        <v>0</v>
      </c>
      <c r="V91" s="34"/>
      <c r="W91" s="34"/>
      <c r="X91" s="34"/>
      <c r="Y91" s="34"/>
      <c r="Z91" s="34"/>
      <c r="AA91" s="34"/>
      <c r="AB91" s="34"/>
      <c r="AC91" s="34"/>
      <c r="AD91" s="34"/>
      <c r="AE91" s="34">
        <f t="shared" si="10"/>
        <v>0</v>
      </c>
      <c r="AF91" s="34"/>
      <c r="AG91" s="34"/>
      <c r="AH91" s="34"/>
      <c r="AI91" s="34"/>
      <c r="AJ91" s="34"/>
      <c r="AK91" s="34"/>
      <c r="AL91" s="34"/>
      <c r="AM91" s="34"/>
      <c r="AN91" s="34"/>
      <c r="AO91" s="57"/>
      <c r="AP91" s="57"/>
      <c r="AQ91" s="57"/>
      <c r="AR91" s="34">
        <v>130000</v>
      </c>
      <c r="AS91" s="34"/>
      <c r="AT91" s="34"/>
      <c r="AU91" s="34"/>
      <c r="AV91" s="34">
        <f>1700000</f>
        <v>1700000</v>
      </c>
      <c r="AW91" s="34"/>
      <c r="AX91" s="34">
        <f t="shared" si="13"/>
        <v>1830000</v>
      </c>
      <c r="AY91" s="34"/>
      <c r="AZ91" s="34"/>
      <c r="BA91" s="34"/>
      <c r="BB91" s="34"/>
      <c r="BC91" s="34"/>
      <c r="BD91" s="34">
        <f>2700</f>
        <v>2700</v>
      </c>
      <c r="BE91" s="34"/>
      <c r="BF91" s="34"/>
      <c r="BG91" s="34"/>
      <c r="BH91" s="34"/>
      <c r="BI91" s="34"/>
      <c r="BJ91" s="34"/>
      <c r="BK91" s="34"/>
      <c r="BL91" s="34"/>
      <c r="BM91" s="34">
        <f t="shared" si="11"/>
        <v>2700</v>
      </c>
    </row>
    <row r="92" spans="1:65" ht="74.25" x14ac:dyDescent="0.95">
      <c r="A92" s="41" t="s">
        <v>91</v>
      </c>
      <c r="B92" s="105" t="s">
        <v>213</v>
      </c>
      <c r="C92" s="106"/>
      <c r="D92" s="34"/>
      <c r="E92" s="34">
        <f>1386240+2569647</f>
        <v>3955887</v>
      </c>
      <c r="F92" s="34"/>
      <c r="G92" s="34"/>
      <c r="H92" s="34"/>
      <c r="I92" s="34"/>
      <c r="J92" s="34"/>
      <c r="K92" s="34"/>
      <c r="L92" s="34"/>
      <c r="M92" s="34"/>
      <c r="N92" s="34">
        <f>477595+21921</f>
        <v>499516</v>
      </c>
      <c r="O92" s="34"/>
      <c r="P92" s="34"/>
      <c r="Q92" s="34"/>
      <c r="R92" s="34">
        <f t="shared" si="14"/>
        <v>1040757</v>
      </c>
      <c r="S92" s="34">
        <v>1040757</v>
      </c>
      <c r="T92" s="34"/>
      <c r="U92" s="34">
        <f t="shared" si="12"/>
        <v>225938</v>
      </c>
      <c r="V92" s="34"/>
      <c r="W92" s="34">
        <v>225938</v>
      </c>
      <c r="X92" s="34"/>
      <c r="Y92" s="34"/>
      <c r="Z92" s="34"/>
      <c r="AA92" s="34"/>
      <c r="AB92" s="34"/>
      <c r="AC92" s="34"/>
      <c r="AD92" s="34"/>
      <c r="AE92" s="34">
        <f t="shared" si="10"/>
        <v>234780</v>
      </c>
      <c r="AF92" s="34">
        <v>234780</v>
      </c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>
        <v>150000</v>
      </c>
      <c r="AS92" s="34"/>
      <c r="AT92" s="34"/>
      <c r="AU92" s="34"/>
      <c r="AV92" s="34"/>
      <c r="AW92" s="34">
        <f>200000</f>
        <v>200000</v>
      </c>
      <c r="AX92" s="34">
        <f t="shared" si="13"/>
        <v>6306878</v>
      </c>
      <c r="AY92" s="34"/>
      <c r="AZ92" s="34"/>
      <c r="BA92" s="34"/>
      <c r="BB92" s="34"/>
      <c r="BC92" s="34"/>
      <c r="BD92" s="34">
        <f>8700</f>
        <v>8700</v>
      </c>
      <c r="BE92" s="34"/>
      <c r="BF92" s="34"/>
      <c r="BG92" s="34"/>
      <c r="BH92" s="34"/>
      <c r="BI92" s="34">
        <f>16200</f>
        <v>16200</v>
      </c>
      <c r="BJ92" s="34"/>
      <c r="BK92" s="34"/>
      <c r="BL92" s="34"/>
      <c r="BM92" s="34">
        <f t="shared" si="11"/>
        <v>24900</v>
      </c>
    </row>
    <row r="93" spans="1:65" ht="134.25" customHeight="1" x14ac:dyDescent="0.95">
      <c r="A93" s="41" t="s">
        <v>89</v>
      </c>
      <c r="B93" s="105" t="s">
        <v>214</v>
      </c>
      <c r="C93" s="106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>
        <f>75182-75182</f>
        <v>0</v>
      </c>
      <c r="O93" s="34"/>
      <c r="P93" s="34">
        <v>23530</v>
      </c>
      <c r="Q93" s="34"/>
      <c r="R93" s="34">
        <f t="shared" si="14"/>
        <v>0</v>
      </c>
      <c r="S93" s="34"/>
      <c r="T93" s="34"/>
      <c r="U93" s="34">
        <f t="shared" si="12"/>
        <v>0</v>
      </c>
      <c r="V93" s="34"/>
      <c r="W93" s="34"/>
      <c r="X93" s="34"/>
      <c r="Y93" s="34"/>
      <c r="Z93" s="34"/>
      <c r="AA93" s="34"/>
      <c r="AB93" s="34"/>
      <c r="AC93" s="34"/>
      <c r="AD93" s="34"/>
      <c r="AE93" s="34">
        <f t="shared" si="10"/>
        <v>0</v>
      </c>
      <c r="AF93" s="34"/>
      <c r="AG93" s="34"/>
      <c r="AH93" s="34"/>
      <c r="AI93" s="34"/>
      <c r="AJ93" s="34"/>
      <c r="AK93" s="34"/>
      <c r="AL93" s="34"/>
      <c r="AM93" s="34"/>
      <c r="AN93" s="34"/>
      <c r="AO93" s="59"/>
      <c r="AP93" s="59"/>
      <c r="AQ93" s="59"/>
      <c r="AR93" s="34">
        <v>325000</v>
      </c>
      <c r="AS93" s="34"/>
      <c r="AT93" s="34"/>
      <c r="AU93" s="34"/>
      <c r="AV93" s="34"/>
      <c r="AW93" s="34"/>
      <c r="AX93" s="34">
        <f t="shared" si="13"/>
        <v>348530</v>
      </c>
      <c r="AY93" s="34"/>
      <c r="AZ93" s="34"/>
      <c r="BA93" s="34"/>
      <c r="BB93" s="34"/>
      <c r="BC93" s="34"/>
      <c r="BD93" s="34">
        <f>6400</f>
        <v>6400</v>
      </c>
      <c r="BE93" s="34"/>
      <c r="BF93" s="34"/>
      <c r="BG93" s="34"/>
      <c r="BH93" s="34"/>
      <c r="BI93" s="34"/>
      <c r="BJ93" s="34"/>
      <c r="BK93" s="34"/>
      <c r="BL93" s="34"/>
      <c r="BM93" s="34">
        <f t="shared" si="11"/>
        <v>6400</v>
      </c>
    </row>
    <row r="94" spans="1:65" ht="74.25" x14ac:dyDescent="1">
      <c r="A94" s="41" t="s">
        <v>82</v>
      </c>
      <c r="B94" s="105" t="s">
        <v>215</v>
      </c>
      <c r="C94" s="106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>
        <f t="shared" si="14"/>
        <v>0</v>
      </c>
      <c r="S94" s="34"/>
      <c r="T94" s="34"/>
      <c r="U94" s="34">
        <f t="shared" si="12"/>
        <v>0</v>
      </c>
      <c r="V94" s="34"/>
      <c r="W94" s="34"/>
      <c r="X94" s="34"/>
      <c r="Y94" s="34"/>
      <c r="Z94" s="34"/>
      <c r="AA94" s="34"/>
      <c r="AB94" s="34"/>
      <c r="AC94" s="34"/>
      <c r="AD94" s="34"/>
      <c r="AE94" s="34">
        <f t="shared" si="10"/>
        <v>0</v>
      </c>
      <c r="AF94" s="34"/>
      <c r="AG94" s="34"/>
      <c r="AH94" s="34"/>
      <c r="AI94" s="34"/>
      <c r="AJ94" s="34"/>
      <c r="AK94" s="34"/>
      <c r="AL94" s="34"/>
      <c r="AM94" s="34"/>
      <c r="AN94" s="34"/>
      <c r="AO94" s="60"/>
      <c r="AP94" s="60"/>
      <c r="AQ94" s="60"/>
      <c r="AR94" s="34">
        <v>350000</v>
      </c>
      <c r="AS94" s="34"/>
      <c r="AT94" s="34"/>
      <c r="AU94" s="34"/>
      <c r="AV94" s="34"/>
      <c r="AW94" s="34"/>
      <c r="AX94" s="34">
        <f t="shared" si="13"/>
        <v>350000</v>
      </c>
      <c r="AY94" s="34"/>
      <c r="AZ94" s="34"/>
      <c r="BA94" s="34"/>
      <c r="BB94" s="34"/>
      <c r="BC94" s="34"/>
      <c r="BD94" s="34">
        <f>3600</f>
        <v>3600</v>
      </c>
      <c r="BE94" s="34"/>
      <c r="BF94" s="34"/>
      <c r="BG94" s="34"/>
      <c r="BH94" s="34"/>
      <c r="BI94" s="34"/>
      <c r="BJ94" s="34"/>
      <c r="BK94" s="34"/>
      <c r="BL94" s="34"/>
      <c r="BM94" s="34">
        <f t="shared" si="11"/>
        <v>3600</v>
      </c>
    </row>
    <row r="95" spans="1:65" ht="74.25" x14ac:dyDescent="1">
      <c r="A95" s="41" t="s">
        <v>92</v>
      </c>
      <c r="B95" s="105" t="s">
        <v>216</v>
      </c>
      <c r="C95" s="106"/>
      <c r="D95" s="34"/>
      <c r="E95" s="34">
        <f>800790+1453092</f>
        <v>2253882</v>
      </c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>
        <f t="shared" si="14"/>
        <v>0</v>
      </c>
      <c r="S95" s="34"/>
      <c r="T95" s="34"/>
      <c r="U95" s="34">
        <f t="shared" si="12"/>
        <v>225938</v>
      </c>
      <c r="V95" s="34"/>
      <c r="W95" s="34">
        <v>225938</v>
      </c>
      <c r="X95" s="34"/>
      <c r="Y95" s="34"/>
      <c r="Z95" s="34"/>
      <c r="AA95" s="34"/>
      <c r="AB95" s="34"/>
      <c r="AC95" s="34"/>
      <c r="AD95" s="34"/>
      <c r="AE95" s="34">
        <f t="shared" si="10"/>
        <v>222790</v>
      </c>
      <c r="AF95" s="34">
        <v>117390</v>
      </c>
      <c r="AG95" s="34">
        <v>105400</v>
      </c>
      <c r="AH95" s="34"/>
      <c r="AI95" s="34"/>
      <c r="AJ95" s="34"/>
      <c r="AK95" s="34"/>
      <c r="AL95" s="34"/>
      <c r="AM95" s="34"/>
      <c r="AN95" s="34"/>
      <c r="AO95" s="60"/>
      <c r="AP95" s="60"/>
      <c r="AQ95" s="60"/>
      <c r="AR95" s="34">
        <v>500000</v>
      </c>
      <c r="AS95" s="34"/>
      <c r="AT95" s="34"/>
      <c r="AU95" s="34"/>
      <c r="AV95" s="34"/>
      <c r="AW95" s="34"/>
      <c r="AX95" s="34">
        <f t="shared" si="13"/>
        <v>3202610</v>
      </c>
      <c r="AY95" s="34"/>
      <c r="AZ95" s="34"/>
      <c r="BA95" s="34">
        <f>300000</f>
        <v>300000</v>
      </c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>
        <f t="shared" si="11"/>
        <v>300000</v>
      </c>
    </row>
    <row r="96" spans="1:65" ht="74.25" x14ac:dyDescent="0.95">
      <c r="A96" s="41" t="s">
        <v>107</v>
      </c>
      <c r="B96" s="105" t="s">
        <v>217</v>
      </c>
      <c r="C96" s="106"/>
      <c r="D96" s="34"/>
      <c r="E96" s="34">
        <f>1390130+2540298</f>
        <v>3930428</v>
      </c>
      <c r="F96" s="34"/>
      <c r="G96" s="34"/>
      <c r="H96" s="34"/>
      <c r="I96" s="34"/>
      <c r="J96" s="34"/>
      <c r="K96" s="34"/>
      <c r="L96" s="34"/>
      <c r="M96" s="34"/>
      <c r="N96" s="34">
        <f>23805-23805</f>
        <v>0</v>
      </c>
      <c r="O96" s="34"/>
      <c r="P96" s="34">
        <v>67742</v>
      </c>
      <c r="Q96" s="34"/>
      <c r="R96" s="34">
        <f t="shared" si="14"/>
        <v>0</v>
      </c>
      <c r="S96" s="34"/>
      <c r="T96" s="34"/>
      <c r="U96" s="34">
        <f t="shared" si="12"/>
        <v>4225938</v>
      </c>
      <c r="V96" s="34"/>
      <c r="W96" s="34">
        <v>225938</v>
      </c>
      <c r="X96" s="34"/>
      <c r="Y96" s="34"/>
      <c r="Z96" s="34"/>
      <c r="AA96" s="34">
        <v>1037682</v>
      </c>
      <c r="AB96" s="34"/>
      <c r="AC96" s="34"/>
      <c r="AD96" s="34">
        <v>2962318</v>
      </c>
      <c r="AE96" s="34">
        <f t="shared" si="10"/>
        <v>187824</v>
      </c>
      <c r="AF96" s="34">
        <v>187824</v>
      </c>
      <c r="AG96" s="34"/>
      <c r="AH96" s="34"/>
      <c r="AI96" s="34"/>
      <c r="AJ96" s="34"/>
      <c r="AK96" s="34"/>
      <c r="AL96" s="34"/>
      <c r="AM96" s="34"/>
      <c r="AN96" s="34"/>
      <c r="AO96" s="61"/>
      <c r="AP96" s="61"/>
      <c r="AQ96" s="61"/>
      <c r="AR96" s="34">
        <v>530000</v>
      </c>
      <c r="AS96" s="34"/>
      <c r="AT96" s="34"/>
      <c r="AU96" s="34"/>
      <c r="AV96" s="34"/>
      <c r="AW96" s="34"/>
      <c r="AX96" s="34">
        <f t="shared" si="13"/>
        <v>8941932</v>
      </c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>
        <f t="shared" si="11"/>
        <v>0</v>
      </c>
    </row>
    <row r="97" spans="1:66" ht="74.25" customHeight="1" x14ac:dyDescent="0.95">
      <c r="A97" s="41" t="s">
        <v>93</v>
      </c>
      <c r="B97" s="105" t="s">
        <v>218</v>
      </c>
      <c r="C97" s="106"/>
      <c r="D97" s="34"/>
      <c r="E97" s="34">
        <f>511180+927580</f>
        <v>1438760</v>
      </c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>
        <f t="shared" si="14"/>
        <v>0</v>
      </c>
      <c r="S97" s="34"/>
      <c r="T97" s="34"/>
      <c r="U97" s="34">
        <f t="shared" si="12"/>
        <v>0</v>
      </c>
      <c r="V97" s="34"/>
      <c r="W97" s="34"/>
      <c r="X97" s="34"/>
      <c r="Y97" s="34"/>
      <c r="Z97" s="34"/>
      <c r="AA97" s="34"/>
      <c r="AB97" s="34"/>
      <c r="AC97" s="34"/>
      <c r="AD97" s="34"/>
      <c r="AE97" s="34">
        <f t="shared" si="10"/>
        <v>0</v>
      </c>
      <c r="AF97" s="34"/>
      <c r="AG97" s="34"/>
      <c r="AH97" s="34"/>
      <c r="AI97" s="34"/>
      <c r="AJ97" s="34"/>
      <c r="AK97" s="34"/>
      <c r="AL97" s="34"/>
      <c r="AM97" s="34"/>
      <c r="AN97" s="34"/>
      <c r="AO97" s="61"/>
      <c r="AP97" s="61"/>
      <c r="AQ97" s="61"/>
      <c r="AR97" s="34">
        <v>520000</v>
      </c>
      <c r="AS97" s="34"/>
      <c r="AT97" s="34"/>
      <c r="AU97" s="34"/>
      <c r="AV97" s="34"/>
      <c r="AW97" s="34"/>
      <c r="AX97" s="34">
        <f t="shared" si="13"/>
        <v>1958760</v>
      </c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>
        <f t="shared" si="11"/>
        <v>0</v>
      </c>
    </row>
    <row r="98" spans="1:66" ht="74.25" x14ac:dyDescent="0.95">
      <c r="A98" s="41" t="s">
        <v>84</v>
      </c>
      <c r="B98" s="105" t="s">
        <v>219</v>
      </c>
      <c r="C98" s="106"/>
      <c r="D98" s="34"/>
      <c r="E98" s="34">
        <f>273090+495532</f>
        <v>768622</v>
      </c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>
        <f t="shared" si="14"/>
        <v>0</v>
      </c>
      <c r="S98" s="34"/>
      <c r="T98" s="34"/>
      <c r="U98" s="34">
        <f t="shared" si="12"/>
        <v>112969</v>
      </c>
      <c r="V98" s="34"/>
      <c r="W98" s="34">
        <v>112969</v>
      </c>
      <c r="X98" s="34"/>
      <c r="Y98" s="34"/>
      <c r="Z98" s="34"/>
      <c r="AA98" s="34"/>
      <c r="AB98" s="34"/>
      <c r="AC98" s="34"/>
      <c r="AD98" s="34"/>
      <c r="AE98" s="34">
        <f t="shared" si="10"/>
        <v>46956</v>
      </c>
      <c r="AF98" s="34">
        <v>46956</v>
      </c>
      <c r="AG98" s="34"/>
      <c r="AH98" s="34"/>
      <c r="AI98" s="34"/>
      <c r="AJ98" s="34"/>
      <c r="AK98" s="34"/>
      <c r="AL98" s="34"/>
      <c r="AM98" s="34"/>
      <c r="AN98" s="34"/>
      <c r="AO98" s="61"/>
      <c r="AP98" s="61"/>
      <c r="AQ98" s="61"/>
      <c r="AR98" s="34">
        <v>40000</v>
      </c>
      <c r="AS98" s="34"/>
      <c r="AT98" s="34"/>
      <c r="AU98" s="34"/>
      <c r="AV98" s="34"/>
      <c r="AW98" s="34"/>
      <c r="AX98" s="34">
        <f t="shared" si="13"/>
        <v>968547</v>
      </c>
      <c r="AY98" s="34"/>
      <c r="AZ98" s="34"/>
      <c r="BA98" s="34"/>
      <c r="BB98" s="34"/>
      <c r="BC98" s="34"/>
      <c r="BD98" s="34">
        <f>3400</f>
        <v>3400</v>
      </c>
      <c r="BE98" s="34"/>
      <c r="BF98" s="34"/>
      <c r="BG98" s="34"/>
      <c r="BH98" s="34"/>
      <c r="BI98" s="34"/>
      <c r="BJ98" s="34"/>
      <c r="BK98" s="34"/>
      <c r="BL98" s="34"/>
      <c r="BM98" s="34">
        <f t="shared" si="11"/>
        <v>3400</v>
      </c>
    </row>
    <row r="99" spans="1:66" ht="74.25" x14ac:dyDescent="0.95">
      <c r="A99" s="41" t="s">
        <v>83</v>
      </c>
      <c r="B99" s="105" t="s">
        <v>220</v>
      </c>
      <c r="C99" s="106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>
        <f t="shared" si="14"/>
        <v>0</v>
      </c>
      <c r="S99" s="34"/>
      <c r="T99" s="34"/>
      <c r="U99" s="34">
        <f t="shared" si="12"/>
        <v>0</v>
      </c>
      <c r="V99" s="34"/>
      <c r="W99" s="34"/>
      <c r="X99" s="34"/>
      <c r="Y99" s="34"/>
      <c r="Z99" s="34"/>
      <c r="AA99" s="34"/>
      <c r="AB99" s="34"/>
      <c r="AC99" s="34"/>
      <c r="AD99" s="34"/>
      <c r="AE99" s="34">
        <f t="shared" si="10"/>
        <v>0</v>
      </c>
      <c r="AF99" s="34"/>
      <c r="AG99" s="34"/>
      <c r="AH99" s="34"/>
      <c r="AI99" s="34"/>
      <c r="AJ99" s="34"/>
      <c r="AK99" s="34"/>
      <c r="AL99" s="34"/>
      <c r="AM99" s="34"/>
      <c r="AN99" s="34"/>
      <c r="AO99" s="61"/>
      <c r="AP99" s="61"/>
      <c r="AQ99" s="61"/>
      <c r="AR99" s="34">
        <v>100000</v>
      </c>
      <c r="AS99" s="34"/>
      <c r="AT99" s="34"/>
      <c r="AU99" s="34"/>
      <c r="AV99" s="34"/>
      <c r="AW99" s="34"/>
      <c r="AX99" s="34">
        <f t="shared" si="13"/>
        <v>100000</v>
      </c>
      <c r="AY99" s="34"/>
      <c r="AZ99" s="34"/>
      <c r="BA99" s="34"/>
      <c r="BB99" s="34"/>
      <c r="BC99" s="34"/>
      <c r="BD99" s="34">
        <v>4500</v>
      </c>
      <c r="BE99" s="34"/>
      <c r="BF99" s="34"/>
      <c r="BG99" s="34"/>
      <c r="BH99" s="34"/>
      <c r="BI99" s="34"/>
      <c r="BJ99" s="34"/>
      <c r="BK99" s="34"/>
      <c r="BL99" s="34"/>
      <c r="BM99" s="34">
        <f t="shared" si="11"/>
        <v>4500</v>
      </c>
    </row>
    <row r="100" spans="1:66" ht="74.25" x14ac:dyDescent="0.95">
      <c r="A100" s="41" t="s">
        <v>99</v>
      </c>
      <c r="B100" s="105" t="s">
        <v>221</v>
      </c>
      <c r="C100" s="106"/>
      <c r="D100" s="34"/>
      <c r="E100" s="34">
        <f>1313920+2384199</f>
        <v>3698119</v>
      </c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>
        <f t="shared" si="14"/>
        <v>0</v>
      </c>
      <c r="S100" s="34"/>
      <c r="T100" s="34"/>
      <c r="U100" s="34">
        <f t="shared" si="12"/>
        <v>0</v>
      </c>
      <c r="V100" s="34"/>
      <c r="W100" s="34"/>
      <c r="X100" s="34"/>
      <c r="Y100" s="34"/>
      <c r="Z100" s="34"/>
      <c r="AA100" s="34"/>
      <c r="AB100" s="34"/>
      <c r="AC100" s="34"/>
      <c r="AD100" s="34"/>
      <c r="AE100" s="34">
        <f t="shared" si="10"/>
        <v>0</v>
      </c>
      <c r="AF100" s="34"/>
      <c r="AG100" s="34"/>
      <c r="AH100" s="34"/>
      <c r="AI100" s="34"/>
      <c r="AJ100" s="34"/>
      <c r="AK100" s="34"/>
      <c r="AL100" s="34"/>
      <c r="AM100" s="34"/>
      <c r="AN100" s="34"/>
      <c r="AO100" s="61"/>
      <c r="AP100" s="61"/>
      <c r="AQ100" s="61"/>
      <c r="AR100" s="34">
        <v>1379000</v>
      </c>
      <c r="AS100" s="34"/>
      <c r="AT100" s="34"/>
      <c r="AU100" s="34"/>
      <c r="AV100" s="34"/>
      <c r="AW100" s="34"/>
      <c r="AX100" s="34">
        <f t="shared" si="13"/>
        <v>5077119</v>
      </c>
      <c r="AY100" s="34"/>
      <c r="AZ100" s="34"/>
      <c r="BA100" s="34"/>
      <c r="BB100" s="34"/>
      <c r="BC100" s="34"/>
      <c r="BD100" s="34">
        <f>13500</f>
        <v>13500</v>
      </c>
      <c r="BE100" s="34"/>
      <c r="BF100" s="34"/>
      <c r="BG100" s="34"/>
      <c r="BH100" s="34"/>
      <c r="BI100" s="34"/>
      <c r="BJ100" s="34"/>
      <c r="BK100" s="34"/>
      <c r="BL100" s="34"/>
      <c r="BM100" s="34">
        <f t="shared" si="11"/>
        <v>13500</v>
      </c>
    </row>
    <row r="101" spans="1:66" ht="74.25" x14ac:dyDescent="0.95">
      <c r="A101" s="41" t="s">
        <v>103</v>
      </c>
      <c r="B101" s="105" t="s">
        <v>222</v>
      </c>
      <c r="C101" s="106"/>
      <c r="D101" s="34"/>
      <c r="E101" s="34">
        <f>805820+1509507</f>
        <v>2315327</v>
      </c>
      <c r="F101" s="34"/>
      <c r="G101" s="34"/>
      <c r="H101" s="34"/>
      <c r="I101" s="34"/>
      <c r="J101" s="34"/>
      <c r="K101" s="34"/>
      <c r="L101" s="34"/>
      <c r="M101" s="34"/>
      <c r="N101" s="34">
        <v>331845</v>
      </c>
      <c r="O101" s="34"/>
      <c r="P101" s="34">
        <f>60783-5653</f>
        <v>55130</v>
      </c>
      <c r="Q101" s="34"/>
      <c r="R101" s="34">
        <f t="shared" si="14"/>
        <v>0</v>
      </c>
      <c r="S101" s="34"/>
      <c r="T101" s="34"/>
      <c r="U101" s="34">
        <f t="shared" si="12"/>
        <v>0</v>
      </c>
      <c r="V101" s="34"/>
      <c r="W101" s="34"/>
      <c r="X101" s="34"/>
      <c r="Y101" s="34"/>
      <c r="Z101" s="34"/>
      <c r="AA101" s="34"/>
      <c r="AB101" s="34"/>
      <c r="AC101" s="34"/>
      <c r="AD101" s="34"/>
      <c r="AE101" s="34">
        <f t="shared" si="10"/>
        <v>0</v>
      </c>
      <c r="AF101" s="34"/>
      <c r="AG101" s="34"/>
      <c r="AH101" s="34"/>
      <c r="AI101" s="34"/>
      <c r="AJ101" s="34"/>
      <c r="AK101" s="34"/>
      <c r="AL101" s="34"/>
      <c r="AM101" s="34"/>
      <c r="AN101" s="34"/>
      <c r="AO101" s="61"/>
      <c r="AP101" s="61"/>
      <c r="AQ101" s="61"/>
      <c r="AR101" s="34"/>
      <c r="AS101" s="34"/>
      <c r="AT101" s="34"/>
      <c r="AU101" s="34"/>
      <c r="AV101" s="34"/>
      <c r="AW101" s="34">
        <f>700000</f>
        <v>700000</v>
      </c>
      <c r="AX101" s="34">
        <f t="shared" si="13"/>
        <v>3402302</v>
      </c>
      <c r="AY101" s="34"/>
      <c r="AZ101" s="34"/>
      <c r="BA101" s="34"/>
      <c r="BB101" s="34"/>
      <c r="BC101" s="34"/>
      <c r="BD101" s="34">
        <f>5800</f>
        <v>5800</v>
      </c>
      <c r="BE101" s="34"/>
      <c r="BF101" s="34"/>
      <c r="BG101" s="34"/>
      <c r="BH101" s="34"/>
      <c r="BI101" s="34"/>
      <c r="BJ101" s="34"/>
      <c r="BK101" s="34"/>
      <c r="BL101" s="34"/>
      <c r="BM101" s="34">
        <f t="shared" si="11"/>
        <v>5800</v>
      </c>
    </row>
    <row r="102" spans="1:66" ht="74.25" x14ac:dyDescent="0.95">
      <c r="A102" s="41" t="s">
        <v>110</v>
      </c>
      <c r="B102" s="105" t="s">
        <v>223</v>
      </c>
      <c r="C102" s="106"/>
      <c r="D102" s="34"/>
      <c r="E102" s="34">
        <f>181730+329767</f>
        <v>511497</v>
      </c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>
        <f t="shared" si="14"/>
        <v>0</v>
      </c>
      <c r="S102" s="34"/>
      <c r="T102" s="34"/>
      <c r="U102" s="34">
        <f t="shared" si="12"/>
        <v>0</v>
      </c>
      <c r="V102" s="34"/>
      <c r="W102" s="34"/>
      <c r="X102" s="34"/>
      <c r="Y102" s="34"/>
      <c r="Z102" s="34"/>
      <c r="AA102" s="34"/>
      <c r="AB102" s="34"/>
      <c r="AC102" s="34"/>
      <c r="AD102" s="34"/>
      <c r="AE102" s="34">
        <f t="shared" si="10"/>
        <v>0</v>
      </c>
      <c r="AF102" s="34"/>
      <c r="AG102" s="34"/>
      <c r="AH102" s="34"/>
      <c r="AI102" s="34"/>
      <c r="AJ102" s="34"/>
      <c r="AK102" s="34"/>
      <c r="AL102" s="34"/>
      <c r="AM102" s="34"/>
      <c r="AN102" s="34"/>
      <c r="AO102" s="61"/>
      <c r="AP102" s="61"/>
      <c r="AQ102" s="61"/>
      <c r="AR102" s="34">
        <v>250000</v>
      </c>
      <c r="AS102" s="34"/>
      <c r="AT102" s="34"/>
      <c r="AU102" s="34"/>
      <c r="AV102" s="34"/>
      <c r="AW102" s="34"/>
      <c r="AX102" s="34">
        <f t="shared" si="13"/>
        <v>761497</v>
      </c>
      <c r="AY102" s="34"/>
      <c r="AZ102" s="34"/>
      <c r="BA102" s="34"/>
      <c r="BB102" s="34"/>
      <c r="BC102" s="34"/>
      <c r="BD102" s="34">
        <f>3800</f>
        <v>3800</v>
      </c>
      <c r="BE102" s="34"/>
      <c r="BF102" s="34"/>
      <c r="BG102" s="34"/>
      <c r="BH102" s="34"/>
      <c r="BI102" s="34">
        <v>7000</v>
      </c>
      <c r="BJ102" s="34"/>
      <c r="BK102" s="34"/>
      <c r="BL102" s="34"/>
      <c r="BM102" s="34">
        <f t="shared" si="11"/>
        <v>10800</v>
      </c>
    </row>
    <row r="103" spans="1:66" ht="74.25" x14ac:dyDescent="0.95">
      <c r="A103" s="41" t="s">
        <v>248</v>
      </c>
      <c r="B103" s="49" t="s">
        <v>249</v>
      </c>
      <c r="C103" s="65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>
        <f t="shared" si="12"/>
        <v>0</v>
      </c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61"/>
      <c r="AP103" s="61"/>
      <c r="AQ103" s="61"/>
      <c r="AR103" s="34"/>
      <c r="AS103" s="34"/>
      <c r="AT103" s="34"/>
      <c r="AU103" s="34"/>
      <c r="AV103" s="34"/>
      <c r="AW103" s="34"/>
      <c r="AX103" s="34">
        <f t="shared" si="13"/>
        <v>0</v>
      </c>
      <c r="AY103" s="34"/>
      <c r="AZ103" s="34"/>
      <c r="BA103" s="34"/>
      <c r="BB103" s="34"/>
      <c r="BC103" s="34"/>
      <c r="BD103" s="34">
        <v>5400</v>
      </c>
      <c r="BE103" s="34"/>
      <c r="BF103" s="34"/>
      <c r="BG103" s="34"/>
      <c r="BH103" s="34"/>
      <c r="BI103" s="34"/>
      <c r="BJ103" s="34"/>
      <c r="BK103" s="34"/>
      <c r="BL103" s="34"/>
      <c r="BM103" s="34">
        <f t="shared" si="11"/>
        <v>5400</v>
      </c>
    </row>
    <row r="104" spans="1:66" ht="74.25" x14ac:dyDescent="0.95">
      <c r="A104" s="41" t="s">
        <v>111</v>
      </c>
      <c r="B104" s="105" t="s">
        <v>224</v>
      </c>
      <c r="C104" s="106"/>
      <c r="D104" s="34"/>
      <c r="E104" s="34">
        <f>516040+936398</f>
        <v>1452438</v>
      </c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>
        <f t="shared" si="14"/>
        <v>0</v>
      </c>
      <c r="S104" s="34"/>
      <c r="T104" s="34"/>
      <c r="U104" s="34">
        <f t="shared" si="12"/>
        <v>112969</v>
      </c>
      <c r="V104" s="34"/>
      <c r="W104" s="34">
        <v>112969</v>
      </c>
      <c r="X104" s="34"/>
      <c r="Y104" s="34"/>
      <c r="Z104" s="34"/>
      <c r="AA104" s="34"/>
      <c r="AB104" s="34"/>
      <c r="AC104" s="34"/>
      <c r="AD104" s="34"/>
      <c r="AE104" s="34">
        <f t="shared" si="10"/>
        <v>23478</v>
      </c>
      <c r="AF104" s="34">
        <v>23478</v>
      </c>
      <c r="AG104" s="34"/>
      <c r="AH104" s="34"/>
      <c r="AI104" s="34"/>
      <c r="AJ104" s="34"/>
      <c r="AK104" s="34"/>
      <c r="AL104" s="34"/>
      <c r="AM104" s="34"/>
      <c r="AN104" s="34"/>
      <c r="AO104" s="61"/>
      <c r="AP104" s="61"/>
      <c r="AQ104" s="61"/>
      <c r="AR104" s="34"/>
      <c r="AS104" s="34"/>
      <c r="AT104" s="34"/>
      <c r="AU104" s="34"/>
      <c r="AV104" s="34"/>
      <c r="AW104" s="34"/>
      <c r="AX104" s="34">
        <f t="shared" si="13"/>
        <v>1588885</v>
      </c>
      <c r="AY104" s="34"/>
      <c r="AZ104" s="34"/>
      <c r="BA104" s="34"/>
      <c r="BB104" s="34"/>
      <c r="BC104" s="34"/>
      <c r="BD104" s="34">
        <v>5800</v>
      </c>
      <c r="BE104" s="34"/>
      <c r="BF104" s="34"/>
      <c r="BG104" s="34"/>
      <c r="BH104" s="34"/>
      <c r="BI104" s="34"/>
      <c r="BJ104" s="34"/>
      <c r="BK104" s="34"/>
      <c r="BL104" s="34"/>
      <c r="BM104" s="34">
        <f t="shared" si="11"/>
        <v>5800</v>
      </c>
    </row>
    <row r="105" spans="1:66" ht="74.25" x14ac:dyDescent="0.95">
      <c r="A105" s="41" t="s">
        <v>96</v>
      </c>
      <c r="B105" s="105" t="s">
        <v>225</v>
      </c>
      <c r="C105" s="106"/>
      <c r="D105" s="34"/>
      <c r="E105" s="34">
        <f>278920+506113</f>
        <v>785033</v>
      </c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>
        <f t="shared" si="14"/>
        <v>0</v>
      </c>
      <c r="S105" s="34"/>
      <c r="T105" s="34"/>
      <c r="U105" s="34">
        <f t="shared" si="12"/>
        <v>0</v>
      </c>
      <c r="V105" s="34"/>
      <c r="W105" s="34"/>
      <c r="X105" s="34"/>
      <c r="Y105" s="34"/>
      <c r="Z105" s="34"/>
      <c r="AA105" s="34"/>
      <c r="AB105" s="34"/>
      <c r="AC105" s="34"/>
      <c r="AD105" s="34"/>
      <c r="AE105" s="34">
        <f t="shared" si="10"/>
        <v>0</v>
      </c>
      <c r="AF105" s="34"/>
      <c r="AG105" s="34"/>
      <c r="AH105" s="34"/>
      <c r="AI105" s="34"/>
      <c r="AJ105" s="34"/>
      <c r="AK105" s="34"/>
      <c r="AL105" s="34"/>
      <c r="AM105" s="34"/>
      <c r="AN105" s="34"/>
      <c r="AO105" s="61"/>
      <c r="AP105" s="61"/>
      <c r="AQ105" s="61"/>
      <c r="AR105" s="34">
        <v>90000</v>
      </c>
      <c r="AS105" s="34"/>
      <c r="AT105" s="34"/>
      <c r="AU105" s="34"/>
      <c r="AV105" s="34"/>
      <c r="AW105" s="34"/>
      <c r="AX105" s="34">
        <f t="shared" si="13"/>
        <v>875033</v>
      </c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>
        <f>6900</f>
        <v>6900</v>
      </c>
      <c r="BJ105" s="34"/>
      <c r="BK105" s="34"/>
      <c r="BL105" s="34"/>
      <c r="BM105" s="34">
        <f t="shared" si="11"/>
        <v>6900</v>
      </c>
    </row>
    <row r="106" spans="1:66" ht="74.25" x14ac:dyDescent="0.95">
      <c r="A106" s="41" t="s">
        <v>128</v>
      </c>
      <c r="B106" s="105" t="s">
        <v>226</v>
      </c>
      <c r="C106" s="106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>
        <f t="shared" si="14"/>
        <v>0</v>
      </c>
      <c r="S106" s="34"/>
      <c r="T106" s="34"/>
      <c r="U106" s="34">
        <f t="shared" si="12"/>
        <v>0</v>
      </c>
      <c r="V106" s="34"/>
      <c r="W106" s="34"/>
      <c r="X106" s="34"/>
      <c r="Y106" s="34"/>
      <c r="Z106" s="34"/>
      <c r="AA106" s="34"/>
      <c r="AB106" s="34"/>
      <c r="AC106" s="34"/>
      <c r="AD106" s="34"/>
      <c r="AE106" s="34">
        <f t="shared" si="10"/>
        <v>0</v>
      </c>
      <c r="AF106" s="34"/>
      <c r="AG106" s="34"/>
      <c r="AH106" s="34"/>
      <c r="AI106" s="34"/>
      <c r="AJ106" s="34"/>
      <c r="AK106" s="34"/>
      <c r="AL106" s="34"/>
      <c r="AM106" s="34"/>
      <c r="AN106" s="34"/>
      <c r="AO106" s="61"/>
      <c r="AP106" s="61"/>
      <c r="AQ106" s="61"/>
      <c r="AR106" s="34">
        <v>100000</v>
      </c>
      <c r="AS106" s="34"/>
      <c r="AT106" s="34"/>
      <c r="AU106" s="34"/>
      <c r="AV106" s="34"/>
      <c r="AW106" s="34"/>
      <c r="AX106" s="34">
        <f t="shared" si="13"/>
        <v>100000</v>
      </c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>
        <f t="shared" si="11"/>
        <v>0</v>
      </c>
    </row>
    <row r="107" spans="1:66" ht="74.25" x14ac:dyDescent="0.95">
      <c r="A107" s="41" t="s">
        <v>129</v>
      </c>
      <c r="B107" s="105" t="s">
        <v>227</v>
      </c>
      <c r="C107" s="106"/>
      <c r="D107" s="34"/>
      <c r="E107" s="34">
        <f>3373500</f>
        <v>3373500</v>
      </c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>
        <f t="shared" si="14"/>
        <v>0</v>
      </c>
      <c r="S107" s="34"/>
      <c r="T107" s="34"/>
      <c r="U107" s="34">
        <f t="shared" si="12"/>
        <v>0</v>
      </c>
      <c r="V107" s="34"/>
      <c r="W107" s="34"/>
      <c r="X107" s="34"/>
      <c r="Y107" s="34"/>
      <c r="Z107" s="34"/>
      <c r="AA107" s="34"/>
      <c r="AB107" s="34"/>
      <c r="AC107" s="34"/>
      <c r="AD107" s="34"/>
      <c r="AE107" s="34">
        <f t="shared" si="10"/>
        <v>46956</v>
      </c>
      <c r="AF107" s="34">
        <v>46956</v>
      </c>
      <c r="AG107" s="34"/>
      <c r="AH107" s="34"/>
      <c r="AI107" s="34"/>
      <c r="AJ107" s="34"/>
      <c r="AK107" s="34"/>
      <c r="AL107" s="34"/>
      <c r="AM107" s="34"/>
      <c r="AN107" s="34"/>
      <c r="AO107" s="61"/>
      <c r="AP107" s="61"/>
      <c r="AQ107" s="61"/>
      <c r="AR107" s="34">
        <v>600000</v>
      </c>
      <c r="AS107" s="34"/>
      <c r="AT107" s="34"/>
      <c r="AU107" s="34"/>
      <c r="AV107" s="34"/>
      <c r="AW107" s="34"/>
      <c r="AX107" s="34">
        <f t="shared" si="13"/>
        <v>4020456</v>
      </c>
      <c r="AY107" s="34"/>
      <c r="AZ107" s="34"/>
      <c r="BA107" s="34"/>
      <c r="BB107" s="34"/>
      <c r="BC107" s="34"/>
      <c r="BD107" s="34">
        <v>21400</v>
      </c>
      <c r="BE107" s="34"/>
      <c r="BF107" s="34"/>
      <c r="BG107" s="34"/>
      <c r="BH107" s="34"/>
      <c r="BI107" s="34"/>
      <c r="BJ107" s="34"/>
      <c r="BK107" s="34"/>
      <c r="BL107" s="34"/>
      <c r="BM107" s="34">
        <f t="shared" si="11"/>
        <v>21400</v>
      </c>
    </row>
    <row r="108" spans="1:66" ht="74.25" x14ac:dyDescent="0.95">
      <c r="A108" s="41" t="s">
        <v>130</v>
      </c>
      <c r="B108" s="105" t="s">
        <v>228</v>
      </c>
      <c r="C108" s="106"/>
      <c r="D108" s="34"/>
      <c r="E108" s="34">
        <f>3283564</f>
        <v>3283564</v>
      </c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>
        <f t="shared" si="14"/>
        <v>0</v>
      </c>
      <c r="S108" s="34"/>
      <c r="T108" s="34"/>
      <c r="U108" s="34">
        <f t="shared" si="12"/>
        <v>0</v>
      </c>
      <c r="V108" s="34"/>
      <c r="W108" s="34"/>
      <c r="X108" s="34"/>
      <c r="Y108" s="34"/>
      <c r="Z108" s="34"/>
      <c r="AA108" s="34"/>
      <c r="AB108" s="34"/>
      <c r="AC108" s="34"/>
      <c r="AD108" s="34"/>
      <c r="AE108" s="34">
        <f t="shared" si="10"/>
        <v>70434</v>
      </c>
      <c r="AF108" s="34">
        <v>70434</v>
      </c>
      <c r="AG108" s="34"/>
      <c r="AH108" s="34"/>
      <c r="AI108" s="34"/>
      <c r="AJ108" s="34"/>
      <c r="AK108" s="34"/>
      <c r="AL108" s="34"/>
      <c r="AM108" s="34"/>
      <c r="AN108" s="34"/>
      <c r="AO108" s="61"/>
      <c r="AP108" s="61"/>
      <c r="AQ108" s="61"/>
      <c r="AR108" s="34">
        <v>150000</v>
      </c>
      <c r="AS108" s="34"/>
      <c r="AT108" s="34"/>
      <c r="AU108" s="34"/>
      <c r="AV108" s="34"/>
      <c r="AW108" s="34"/>
      <c r="AX108" s="34">
        <f t="shared" si="13"/>
        <v>3503998</v>
      </c>
      <c r="AY108" s="34"/>
      <c r="AZ108" s="34"/>
      <c r="BA108" s="34"/>
      <c r="BB108" s="34"/>
      <c r="BC108" s="34"/>
      <c r="BD108" s="34">
        <v>10000</v>
      </c>
      <c r="BE108" s="34"/>
      <c r="BF108" s="34"/>
      <c r="BG108" s="34"/>
      <c r="BH108" s="34"/>
      <c r="BI108" s="34"/>
      <c r="BJ108" s="34"/>
      <c r="BK108" s="34"/>
      <c r="BL108" s="34"/>
      <c r="BM108" s="34">
        <f t="shared" si="11"/>
        <v>10000</v>
      </c>
    </row>
    <row r="109" spans="1:66" ht="74.25" x14ac:dyDescent="0.95">
      <c r="A109" s="41"/>
      <c r="B109" s="105" t="s">
        <v>231</v>
      </c>
      <c r="C109" s="106"/>
      <c r="D109" s="34">
        <f>SUM(D50:D108)</f>
        <v>0</v>
      </c>
      <c r="E109" s="34">
        <f t="shared" ref="E109:BL109" si="15">SUM(E50:E108)</f>
        <v>117283518</v>
      </c>
      <c r="F109" s="34">
        <f t="shared" si="15"/>
        <v>0</v>
      </c>
      <c r="G109" s="34">
        <f t="shared" si="15"/>
        <v>0</v>
      </c>
      <c r="H109" s="34">
        <f t="shared" si="15"/>
        <v>0</v>
      </c>
      <c r="I109" s="34">
        <f t="shared" si="15"/>
        <v>0</v>
      </c>
      <c r="J109" s="34"/>
      <c r="K109" s="34"/>
      <c r="L109" s="34">
        <f>M109</f>
        <v>65800</v>
      </c>
      <c r="M109" s="34">
        <f t="shared" si="15"/>
        <v>65800</v>
      </c>
      <c r="N109" s="34">
        <f t="shared" si="15"/>
        <v>4969369</v>
      </c>
      <c r="O109" s="34"/>
      <c r="P109" s="34">
        <f t="shared" si="15"/>
        <v>1429319</v>
      </c>
      <c r="Q109" s="34">
        <f t="shared" si="15"/>
        <v>0</v>
      </c>
      <c r="R109" s="34">
        <f t="shared" si="15"/>
        <v>10407570</v>
      </c>
      <c r="S109" s="34">
        <f t="shared" si="15"/>
        <v>10407570</v>
      </c>
      <c r="T109" s="34">
        <f t="shared" si="15"/>
        <v>0</v>
      </c>
      <c r="U109" s="34">
        <f t="shared" si="15"/>
        <v>33014878.719999999</v>
      </c>
      <c r="V109" s="34">
        <f t="shared" si="15"/>
        <v>198600</v>
      </c>
      <c r="W109" s="34">
        <f t="shared" si="15"/>
        <v>6100327</v>
      </c>
      <c r="X109" s="34">
        <f t="shared" si="15"/>
        <v>322818</v>
      </c>
      <c r="Y109" s="34">
        <f t="shared" si="15"/>
        <v>393133</v>
      </c>
      <c r="Z109" s="34">
        <f t="shared" si="15"/>
        <v>0</v>
      </c>
      <c r="AA109" s="34">
        <f t="shared" si="15"/>
        <v>7263774</v>
      </c>
      <c r="AB109" s="34">
        <f t="shared" si="15"/>
        <v>17543.72</v>
      </c>
      <c r="AC109" s="34">
        <f t="shared" si="15"/>
        <v>0</v>
      </c>
      <c r="AD109" s="34">
        <f t="shared" si="15"/>
        <v>18718683</v>
      </c>
      <c r="AE109" s="34">
        <f t="shared" si="15"/>
        <v>3791446</v>
      </c>
      <c r="AF109" s="34">
        <f t="shared" si="15"/>
        <v>3686046</v>
      </c>
      <c r="AG109" s="34">
        <f t="shared" si="15"/>
        <v>105400</v>
      </c>
      <c r="AH109" s="34"/>
      <c r="AI109" s="34"/>
      <c r="AJ109" s="34"/>
      <c r="AK109" s="34"/>
      <c r="AL109" s="34"/>
      <c r="AM109" s="34"/>
      <c r="AN109" s="34"/>
      <c r="AO109" s="34"/>
      <c r="AP109" s="34"/>
      <c r="AQ109" s="34">
        <f t="shared" si="15"/>
        <v>0</v>
      </c>
      <c r="AR109" s="34">
        <f t="shared" si="15"/>
        <v>12498000</v>
      </c>
      <c r="AS109" s="34">
        <f t="shared" si="15"/>
        <v>0</v>
      </c>
      <c r="AT109" s="34">
        <f t="shared" si="15"/>
        <v>0</v>
      </c>
      <c r="AU109" s="34">
        <f t="shared" si="15"/>
        <v>0</v>
      </c>
      <c r="AV109" s="34">
        <f t="shared" si="15"/>
        <v>2000000</v>
      </c>
      <c r="AW109" s="34">
        <f t="shared" si="15"/>
        <v>3000000</v>
      </c>
      <c r="AX109" s="34">
        <f t="shared" si="13"/>
        <v>188459900.72</v>
      </c>
      <c r="AY109" s="34">
        <f>SUM(AY50:AY108)</f>
        <v>0</v>
      </c>
      <c r="AZ109" s="34">
        <f>SUM(AZ50:AZ108)</f>
        <v>0</v>
      </c>
      <c r="BA109" s="34">
        <f>SUM(BA50:BA108)</f>
        <v>650000</v>
      </c>
      <c r="BB109" s="34">
        <f>SUM(BB50:BB108)</f>
        <v>24758818</v>
      </c>
      <c r="BC109" s="34">
        <f>SUM(BC50:BC108)</f>
        <v>0</v>
      </c>
      <c r="BD109" s="34">
        <f t="shared" si="15"/>
        <v>337031</v>
      </c>
      <c r="BE109" s="34"/>
      <c r="BF109" s="34"/>
      <c r="BG109" s="34">
        <f t="shared" si="15"/>
        <v>0</v>
      </c>
      <c r="BH109" s="34">
        <f t="shared" si="15"/>
        <v>0</v>
      </c>
      <c r="BI109" s="34">
        <f t="shared" si="15"/>
        <v>114100</v>
      </c>
      <c r="BJ109" s="34">
        <f t="shared" si="15"/>
        <v>10800</v>
      </c>
      <c r="BK109" s="34">
        <f t="shared" si="15"/>
        <v>0</v>
      </c>
      <c r="BL109" s="34">
        <f t="shared" si="15"/>
        <v>0</v>
      </c>
      <c r="BM109" s="34">
        <f t="shared" ref="BM109:BM114" si="16">SUM(AY109:BL109)</f>
        <v>25870749</v>
      </c>
    </row>
    <row r="110" spans="1:66" ht="74.25" x14ac:dyDescent="0.95">
      <c r="A110" s="41" t="s">
        <v>257</v>
      </c>
      <c r="B110" s="64" t="s">
        <v>255</v>
      </c>
      <c r="C110" s="65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>
        <f t="shared" si="12"/>
        <v>0</v>
      </c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>
        <f t="shared" si="13"/>
        <v>0</v>
      </c>
      <c r="AY110" s="34">
        <v>6675600</v>
      </c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>
        <f t="shared" si="16"/>
        <v>6675600</v>
      </c>
    </row>
    <row r="111" spans="1:66" ht="74.25" x14ac:dyDescent="0.95">
      <c r="A111" s="41" t="s">
        <v>258</v>
      </c>
      <c r="B111" s="64" t="s">
        <v>256</v>
      </c>
      <c r="C111" s="65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>
        <f t="shared" si="12"/>
        <v>0</v>
      </c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>
        <f t="shared" si="13"/>
        <v>0</v>
      </c>
      <c r="AY111" s="34"/>
      <c r="AZ111" s="34">
        <v>300000</v>
      </c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>
        <f t="shared" si="16"/>
        <v>300000</v>
      </c>
    </row>
    <row r="112" spans="1:66" s="9" customFormat="1" ht="74.25" x14ac:dyDescent="0.95">
      <c r="A112" s="41" t="s">
        <v>4</v>
      </c>
      <c r="B112" s="105" t="s">
        <v>5</v>
      </c>
      <c r="C112" s="106"/>
      <c r="D112" s="57"/>
      <c r="E112" s="57">
        <f>157266400-136268847</f>
        <v>20997553</v>
      </c>
      <c r="F112" s="57"/>
      <c r="G112" s="57"/>
      <c r="H112" s="57"/>
      <c r="I112" s="34"/>
      <c r="J112" s="34"/>
      <c r="K112" s="34"/>
      <c r="L112" s="34"/>
      <c r="M112" s="34"/>
      <c r="N112" s="34"/>
      <c r="O112" s="34"/>
      <c r="P112" s="34"/>
      <c r="Q112" s="34">
        <v>77984900</v>
      </c>
      <c r="R112" s="34">
        <f t="shared" si="14"/>
        <v>0</v>
      </c>
      <c r="S112" s="34"/>
      <c r="T112" s="34"/>
      <c r="U112" s="34">
        <f t="shared" si="12"/>
        <v>0</v>
      </c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57"/>
      <c r="AP112" s="57"/>
      <c r="AQ112" s="57"/>
      <c r="AR112" s="34"/>
      <c r="AS112" s="34">
        <v>1800000</v>
      </c>
      <c r="AT112" s="34"/>
      <c r="AU112" s="34"/>
      <c r="AV112" s="34">
        <f>2000000-2000000</f>
        <v>0</v>
      </c>
      <c r="AW112" s="34">
        <f>12500000-4800000</f>
        <v>7700000</v>
      </c>
      <c r="AX112" s="34">
        <f t="shared" si="13"/>
        <v>108482453</v>
      </c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>
        <f t="shared" si="16"/>
        <v>0</v>
      </c>
      <c r="BN112" s="42"/>
    </row>
    <row r="113" spans="1:66" s="9" customFormat="1" ht="74.25" x14ac:dyDescent="0.95">
      <c r="A113" s="41"/>
      <c r="B113" s="105" t="s">
        <v>6</v>
      </c>
      <c r="C113" s="106"/>
      <c r="D113" s="57">
        <v>645193400</v>
      </c>
      <c r="E113" s="57"/>
      <c r="F113" s="57"/>
      <c r="G113" s="57"/>
      <c r="H113" s="57"/>
      <c r="I113" s="34"/>
      <c r="J113" s="34"/>
      <c r="K113" s="34"/>
      <c r="L113" s="34"/>
      <c r="M113" s="34"/>
      <c r="N113" s="34"/>
      <c r="O113" s="34"/>
      <c r="P113" s="34"/>
      <c r="Q113" s="34"/>
      <c r="R113" s="34">
        <f t="shared" si="14"/>
        <v>0</v>
      </c>
      <c r="S113" s="34"/>
      <c r="T113" s="34"/>
      <c r="U113" s="34">
        <f t="shared" si="12"/>
        <v>0</v>
      </c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>
        <v>413211</v>
      </c>
      <c r="AJ113" s="34">
        <v>11800000</v>
      </c>
      <c r="AK113" s="34">
        <v>4800000</v>
      </c>
      <c r="AL113" s="34">
        <v>1000000</v>
      </c>
      <c r="AM113" s="34">
        <v>20200000</v>
      </c>
      <c r="AN113" s="34">
        <v>8200000</v>
      </c>
      <c r="AO113" s="57">
        <v>14222839</v>
      </c>
      <c r="AP113" s="57">
        <v>3840000</v>
      </c>
      <c r="AQ113" s="57">
        <v>27500000</v>
      </c>
      <c r="AR113" s="34"/>
      <c r="AS113" s="34"/>
      <c r="AT113" s="34"/>
      <c r="AU113" s="34"/>
      <c r="AV113" s="34"/>
      <c r="AW113" s="34"/>
      <c r="AX113" s="34">
        <f t="shared" si="13"/>
        <v>733329450</v>
      </c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>
        <f t="shared" si="16"/>
        <v>0</v>
      </c>
      <c r="BN113" s="42"/>
    </row>
    <row r="114" spans="1:66" s="10" customFormat="1" ht="74.25" x14ac:dyDescent="0.95">
      <c r="A114" s="41"/>
      <c r="B114" s="105" t="s">
        <v>79</v>
      </c>
      <c r="C114" s="106"/>
      <c r="D114" s="57">
        <f>D109+D49+D26+D112+D113+D110+D111</f>
        <v>645193400</v>
      </c>
      <c r="E114" s="57">
        <f>E109+E49+E26+E112+E113+E110+E111</f>
        <v>227266400</v>
      </c>
      <c r="F114" s="57">
        <f t="shared" ref="F114:G114" si="17">F109+F49+F26+F112+F113+F110+F111</f>
        <v>3982190800</v>
      </c>
      <c r="G114" s="57">
        <f t="shared" si="17"/>
        <v>2164792800</v>
      </c>
      <c r="H114" s="57">
        <f>H109+H49+H26+H112+H113+H110+H111</f>
        <v>51271300</v>
      </c>
      <c r="I114" s="57">
        <f t="shared" ref="I114:P114" si="18">I109+I49+I26+I112+I113+I110+I111</f>
        <v>131824000</v>
      </c>
      <c r="J114" s="57">
        <f t="shared" si="18"/>
        <v>425000</v>
      </c>
      <c r="K114" s="57">
        <f>K109+K49+K26+K112+K113+K110+K111</f>
        <v>153000</v>
      </c>
      <c r="L114" s="57">
        <f t="shared" si="18"/>
        <v>65800</v>
      </c>
      <c r="M114" s="57">
        <f t="shared" si="18"/>
        <v>65800</v>
      </c>
      <c r="N114" s="57">
        <f t="shared" si="18"/>
        <v>77390388</v>
      </c>
      <c r="O114" s="57">
        <f t="shared" si="18"/>
        <v>36300.550000000003</v>
      </c>
      <c r="P114" s="57">
        <f t="shared" si="18"/>
        <v>20904800</v>
      </c>
      <c r="Q114" s="57">
        <f>Q109+Q49+Q26+Q112+Q113+Q110+Q111</f>
        <v>77984900</v>
      </c>
      <c r="R114" s="57">
        <f t="shared" ref="R114:AT114" si="19">R109+R49+R26+R112+R113+R110+R111</f>
        <v>40176800</v>
      </c>
      <c r="S114" s="57">
        <f t="shared" si="19"/>
        <v>35385800</v>
      </c>
      <c r="T114" s="57">
        <f t="shared" si="19"/>
        <v>4791000</v>
      </c>
      <c r="U114" s="57">
        <f t="shared" si="19"/>
        <v>82991437</v>
      </c>
      <c r="V114" s="57">
        <f t="shared" si="19"/>
        <v>1293300</v>
      </c>
      <c r="W114" s="57">
        <f t="shared" si="19"/>
        <v>24853200</v>
      </c>
      <c r="X114" s="57">
        <f t="shared" si="19"/>
        <v>6420500</v>
      </c>
      <c r="Y114" s="57">
        <f t="shared" si="19"/>
        <v>1179400</v>
      </c>
      <c r="Z114" s="57">
        <f t="shared" si="19"/>
        <v>1220551.01</v>
      </c>
      <c r="AA114" s="57">
        <f t="shared" si="19"/>
        <v>11414500</v>
      </c>
      <c r="AB114" s="57">
        <f t="shared" si="19"/>
        <v>17543.72</v>
      </c>
      <c r="AC114" s="57">
        <f t="shared" si="19"/>
        <v>24485.27</v>
      </c>
      <c r="AD114" s="57">
        <f t="shared" si="19"/>
        <v>36567957</v>
      </c>
      <c r="AE114" s="57">
        <f t="shared" si="19"/>
        <v>25007000</v>
      </c>
      <c r="AF114" s="57">
        <f t="shared" si="19"/>
        <v>18923000</v>
      </c>
      <c r="AG114" s="57">
        <f t="shared" si="19"/>
        <v>6084000</v>
      </c>
      <c r="AH114" s="57">
        <f t="shared" si="19"/>
        <v>101300000</v>
      </c>
      <c r="AI114" s="57">
        <f t="shared" si="19"/>
        <v>413211</v>
      </c>
      <c r="AJ114" s="57">
        <f t="shared" si="19"/>
        <v>11800000</v>
      </c>
      <c r="AK114" s="57">
        <f t="shared" si="19"/>
        <v>4800000</v>
      </c>
      <c r="AL114" s="57">
        <f t="shared" si="19"/>
        <v>1000000</v>
      </c>
      <c r="AM114" s="57">
        <f t="shared" si="19"/>
        <v>20200000</v>
      </c>
      <c r="AN114" s="57">
        <f t="shared" si="19"/>
        <v>8200000</v>
      </c>
      <c r="AO114" s="57">
        <f t="shared" si="19"/>
        <v>14222839</v>
      </c>
      <c r="AP114" s="57">
        <f t="shared" si="19"/>
        <v>3840000</v>
      </c>
      <c r="AQ114" s="57">
        <f t="shared" si="19"/>
        <v>27500000</v>
      </c>
      <c r="AR114" s="57">
        <f t="shared" si="19"/>
        <v>90000000</v>
      </c>
      <c r="AS114" s="57">
        <f t="shared" si="19"/>
        <v>1800000</v>
      </c>
      <c r="AT114" s="57">
        <f t="shared" si="19"/>
        <v>50000000</v>
      </c>
      <c r="AU114" s="57">
        <f>AU109+AU49+AU26+AU112+AU113+AU110+AU111</f>
        <v>98000000</v>
      </c>
      <c r="AV114" s="57">
        <f t="shared" ref="AV114:AW114" si="20">AV109+AV49+AV26+AV112+AV113+AV110+AV111</f>
        <v>2000000</v>
      </c>
      <c r="AW114" s="57">
        <f t="shared" si="20"/>
        <v>12500000</v>
      </c>
      <c r="AX114" s="34">
        <f t="shared" si="13"/>
        <v>7971410175.5500002</v>
      </c>
      <c r="AY114" s="34">
        <f>AY26+AY49+AY109+AY110+AY111+AY112+AY113</f>
        <v>6675600</v>
      </c>
      <c r="AZ114" s="34">
        <f>AZ26+AZ49+AZ109+AZ110+AZ111+AZ112+AZ113</f>
        <v>300000</v>
      </c>
      <c r="BA114" s="34">
        <f>BA26+BA49+BA109+BA110+BA111+BA112+BA113</f>
        <v>2450000</v>
      </c>
      <c r="BB114" s="34">
        <f t="shared" ref="BB114:BL114" si="21">BB26+BB49+BB109+BB110+BB111+BB112+BB113</f>
        <v>24758818</v>
      </c>
      <c r="BC114" s="34">
        <f t="shared" si="21"/>
        <v>140000</v>
      </c>
      <c r="BD114" s="34">
        <f t="shared" si="21"/>
        <v>946931</v>
      </c>
      <c r="BE114" s="34">
        <f t="shared" si="21"/>
        <v>10000000</v>
      </c>
      <c r="BF114" s="34">
        <f t="shared" si="21"/>
        <v>2800000</v>
      </c>
      <c r="BG114" s="34">
        <f t="shared" si="21"/>
        <v>148500</v>
      </c>
      <c r="BH114" s="34">
        <f t="shared" si="21"/>
        <v>2150000</v>
      </c>
      <c r="BI114" s="34">
        <f>BI26+BI49+BI109+BI110+BI111+BI112+BI113</f>
        <v>114100</v>
      </c>
      <c r="BJ114" s="34">
        <f>BJ26+BJ49+BJ109+BJ110+BJ111+BJ112+BJ113</f>
        <v>10800</v>
      </c>
      <c r="BK114" s="34">
        <f t="shared" si="21"/>
        <v>1000000</v>
      </c>
      <c r="BL114" s="34">
        <f t="shared" si="21"/>
        <v>1104800</v>
      </c>
      <c r="BM114" s="34">
        <f t="shared" si="16"/>
        <v>52599549</v>
      </c>
      <c r="BN114" s="43"/>
    </row>
    <row r="115" spans="1:66" s="15" customFormat="1" ht="190.5" customHeight="1" x14ac:dyDescent="1.05">
      <c r="A115" s="11"/>
      <c r="B115" s="30"/>
      <c r="C115" s="30"/>
      <c r="D115" s="44"/>
      <c r="E115" s="12"/>
      <c r="F115" s="14"/>
      <c r="G115" s="14"/>
      <c r="I115" s="44"/>
      <c r="J115" s="44"/>
      <c r="K115" s="44"/>
      <c r="L115" s="44"/>
      <c r="M115" s="44"/>
      <c r="N115" s="13"/>
      <c r="O115" s="13"/>
      <c r="P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22"/>
      <c r="AP115" s="22"/>
      <c r="AQ115" s="22"/>
      <c r="AR115" s="13"/>
      <c r="AS115" s="13"/>
      <c r="AT115" s="13"/>
      <c r="AU115" s="13"/>
      <c r="AV115" s="13"/>
      <c r="AW115" s="107"/>
      <c r="AX115" s="107"/>
      <c r="AY115" s="66"/>
      <c r="AZ115" s="66"/>
      <c r="BA115" s="66"/>
      <c r="BB115" s="66"/>
      <c r="BC115" s="66"/>
      <c r="BD115" s="45"/>
      <c r="BE115" s="45"/>
      <c r="BF115" s="45"/>
      <c r="BG115" s="45"/>
      <c r="BH115" s="45"/>
      <c r="BI115" s="45"/>
      <c r="BJ115" s="45"/>
      <c r="BK115" s="45"/>
      <c r="BL115" s="108"/>
      <c r="BM115" s="108"/>
    </row>
    <row r="116" spans="1:66" s="15" customFormat="1" ht="81.75" x14ac:dyDescent="1.05">
      <c r="A116" s="11"/>
      <c r="B116" s="30"/>
      <c r="C116" s="30"/>
      <c r="D116" s="44"/>
      <c r="E116" s="12"/>
      <c r="F116" s="14"/>
      <c r="G116" s="14"/>
      <c r="H116" s="44"/>
      <c r="I116" s="13"/>
      <c r="J116" s="13"/>
      <c r="K116" s="13"/>
      <c r="L116" s="13"/>
      <c r="M116" s="13"/>
      <c r="N116" s="13"/>
      <c r="O116" s="13"/>
      <c r="P116" s="13"/>
      <c r="Q116" s="44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O116" s="66"/>
      <c r="AP116" s="66"/>
      <c r="AQ116" s="66"/>
      <c r="AR116" s="13"/>
      <c r="AS116" s="13"/>
      <c r="AT116" s="13"/>
      <c r="AU116" s="13"/>
      <c r="AV116" s="13"/>
      <c r="AW116" s="66"/>
      <c r="AX116" s="66"/>
      <c r="AY116" s="66"/>
      <c r="AZ116" s="66"/>
      <c r="BA116" s="66"/>
      <c r="BB116" s="66"/>
      <c r="BC116" s="66"/>
      <c r="BD116" s="45"/>
      <c r="BE116" s="45"/>
      <c r="BF116" s="45"/>
      <c r="BG116" s="45"/>
      <c r="BH116" s="45"/>
      <c r="BI116" s="45"/>
      <c r="BJ116" s="45"/>
      <c r="BK116" s="45"/>
      <c r="BL116" s="46"/>
      <c r="BM116" s="46"/>
    </row>
    <row r="117" spans="1:66" s="15" customFormat="1" ht="87" x14ac:dyDescent="1.1000000000000001">
      <c r="A117" s="11"/>
      <c r="B117" s="69" t="s">
        <v>136</v>
      </c>
      <c r="C117" s="30"/>
      <c r="D117" s="44"/>
      <c r="E117" s="12"/>
      <c r="F117" s="14"/>
      <c r="G117" s="14"/>
      <c r="H117" s="44"/>
      <c r="I117" s="13"/>
      <c r="J117" s="13"/>
      <c r="K117" s="13"/>
      <c r="L117" s="13"/>
      <c r="M117" s="13"/>
      <c r="N117" s="13"/>
      <c r="O117" s="13"/>
      <c r="P117" s="13"/>
      <c r="Q117" s="44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O117" s="66"/>
      <c r="AP117" s="66"/>
      <c r="AQ117" s="66"/>
      <c r="AR117" s="13"/>
      <c r="AS117" s="13"/>
      <c r="AT117" s="13"/>
      <c r="AU117" s="13"/>
      <c r="AV117" s="13"/>
      <c r="AW117" s="66"/>
      <c r="AX117" s="66"/>
      <c r="AY117" s="66"/>
      <c r="AZ117" s="66"/>
      <c r="BA117" s="66"/>
      <c r="BB117" s="66"/>
      <c r="BC117" s="66"/>
      <c r="BD117" s="45"/>
      <c r="BE117" s="45"/>
      <c r="BF117" s="45"/>
      <c r="BG117" s="45"/>
      <c r="BH117" s="45"/>
      <c r="BI117" s="53" t="s">
        <v>136</v>
      </c>
      <c r="BJ117" s="45"/>
      <c r="BK117" s="45"/>
      <c r="BL117" s="110" t="s">
        <v>301</v>
      </c>
      <c r="BM117" s="110"/>
    </row>
    <row r="118" spans="1:66" s="15" customFormat="1" ht="87" x14ac:dyDescent="1.1000000000000001">
      <c r="A118" s="11"/>
      <c r="B118" s="69"/>
      <c r="C118" s="53"/>
      <c r="D118" s="44"/>
      <c r="E118" s="12"/>
      <c r="F118" s="14"/>
      <c r="G118" s="14"/>
      <c r="H118" s="44"/>
      <c r="I118" s="13"/>
      <c r="J118" s="13"/>
      <c r="K118" s="13"/>
      <c r="L118" s="13"/>
      <c r="M118" s="13"/>
      <c r="N118" s="13"/>
      <c r="O118" s="13"/>
      <c r="P118" s="13"/>
      <c r="Q118" s="44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O118" s="66"/>
      <c r="AP118" s="66"/>
      <c r="AQ118" s="66"/>
      <c r="AR118" s="13"/>
      <c r="AS118" s="13"/>
      <c r="AT118" s="13"/>
      <c r="AU118" s="13"/>
      <c r="AV118" s="13"/>
      <c r="AW118" s="66"/>
      <c r="AX118" s="66"/>
      <c r="AY118" s="66"/>
      <c r="AZ118" s="66"/>
      <c r="BA118" s="66"/>
      <c r="BB118" s="66"/>
      <c r="BC118" s="66"/>
      <c r="BD118" s="45"/>
      <c r="BE118" s="45"/>
      <c r="BF118" s="45"/>
      <c r="BG118" s="45"/>
      <c r="BH118" s="45"/>
      <c r="BI118" s="53"/>
      <c r="BJ118" s="70"/>
      <c r="BK118" s="45"/>
      <c r="BL118" s="110"/>
      <c r="BM118" s="110"/>
    </row>
    <row r="119" spans="1:66" s="15" customFormat="1" ht="81.75" x14ac:dyDescent="1.05">
      <c r="A119" s="11"/>
      <c r="B119" s="30"/>
      <c r="C119" s="30"/>
      <c r="D119" s="44"/>
      <c r="E119" s="12"/>
      <c r="F119" s="14"/>
      <c r="G119" s="14"/>
      <c r="H119" s="44"/>
      <c r="I119" s="13"/>
      <c r="J119" s="13"/>
      <c r="K119" s="13"/>
      <c r="L119" s="13"/>
      <c r="M119" s="13"/>
      <c r="N119" s="13"/>
      <c r="O119" s="13"/>
      <c r="P119" s="13"/>
      <c r="Q119" s="44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O119" s="66"/>
      <c r="AP119" s="66"/>
      <c r="AQ119" s="66"/>
      <c r="AR119" s="13"/>
      <c r="AS119" s="13"/>
      <c r="AT119" s="13"/>
      <c r="AU119" s="13"/>
      <c r="AV119" s="13"/>
      <c r="AW119" s="66"/>
      <c r="AX119" s="66"/>
      <c r="AY119" s="66"/>
      <c r="AZ119" s="66"/>
      <c r="BA119" s="66"/>
      <c r="BB119" s="66"/>
      <c r="BC119" s="66"/>
      <c r="BD119" s="45"/>
      <c r="BE119" s="45"/>
      <c r="BF119" s="45"/>
      <c r="BG119" s="45"/>
      <c r="BH119" s="45"/>
      <c r="BI119" s="45"/>
      <c r="BJ119" s="45"/>
      <c r="BK119" s="45"/>
      <c r="BL119" s="46"/>
      <c r="BM119" s="46"/>
    </row>
    <row r="120" spans="1:66" s="18" customFormat="1" ht="78" customHeight="1" x14ac:dyDescent="1.1000000000000001">
      <c r="D120" s="16"/>
      <c r="E120" s="16"/>
      <c r="F120" s="17"/>
      <c r="G120" s="17"/>
      <c r="H120" s="17"/>
      <c r="AO120" s="107"/>
      <c r="AP120" s="107"/>
      <c r="AQ120" s="107"/>
      <c r="AT120" s="35"/>
      <c r="AU120" s="35"/>
      <c r="AV120" s="35"/>
      <c r="AW120" s="66"/>
      <c r="BF120" s="109"/>
      <c r="BG120" s="109"/>
      <c r="BH120" s="53"/>
      <c r="BI120" s="53"/>
      <c r="BJ120" s="53"/>
      <c r="BK120" s="54"/>
      <c r="BM120" s="55"/>
    </row>
    <row r="121" spans="1:66" ht="25.5" x14ac:dyDescent="0.35">
      <c r="A121" s="19"/>
      <c r="B121" s="19"/>
      <c r="C121" s="19"/>
      <c r="D121" s="19"/>
      <c r="E121" s="19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</row>
    <row r="122" spans="1:66" x14ac:dyDescent="0.2"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</row>
    <row r="123" spans="1:66" x14ac:dyDescent="0.2"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</row>
    <row r="124" spans="1:66" x14ac:dyDescent="0.2"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</row>
    <row r="125" spans="1:66" x14ac:dyDescent="0.2"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</row>
    <row r="126" spans="1:66" x14ac:dyDescent="0.2"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</row>
    <row r="127" spans="1:66" x14ac:dyDescent="0.2"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</row>
    <row r="128" spans="1:66" x14ac:dyDescent="0.2"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</row>
    <row r="129" spans="9:43" x14ac:dyDescent="0.2"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</row>
    <row r="130" spans="9:43" x14ac:dyDescent="0.2"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</row>
    <row r="131" spans="9:43" x14ac:dyDescent="0.2"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</row>
    <row r="132" spans="9:43" x14ac:dyDescent="0.2"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</row>
    <row r="133" spans="9:43" x14ac:dyDescent="0.2"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</row>
    <row r="134" spans="9:43" x14ac:dyDescent="0.2"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</row>
  </sheetData>
  <sheetProtection selectLockedCells="1" selectUnlockedCells="1"/>
  <mergeCells count="215">
    <mergeCell ref="A5:A12"/>
    <mergeCell ref="B5:C12"/>
    <mergeCell ref="E5:H5"/>
    <mergeCell ref="D7:H7"/>
    <mergeCell ref="D9:D12"/>
    <mergeCell ref="E9:E12"/>
    <mergeCell ref="F9:F12"/>
    <mergeCell ref="D6:E6"/>
    <mergeCell ref="F6:H6"/>
    <mergeCell ref="AE8:AG8"/>
    <mergeCell ref="AI9:AI12"/>
    <mergeCell ref="AM7:AQ7"/>
    <mergeCell ref="I5:N5"/>
    <mergeCell ref="X10:X12"/>
    <mergeCell ref="X6:AH6"/>
    <mergeCell ref="X7:AH7"/>
    <mergeCell ref="X8:AD8"/>
    <mergeCell ref="X9:AD9"/>
    <mergeCell ref="AI5:AQ5"/>
    <mergeCell ref="AN9:AN12"/>
    <mergeCell ref="G1:H1"/>
    <mergeCell ref="G2:H2"/>
    <mergeCell ref="D3:H3"/>
    <mergeCell ref="Y10:Y12"/>
    <mergeCell ref="Z10:Z12"/>
    <mergeCell ref="AA10:AA12"/>
    <mergeCell ref="AB10:AB12"/>
    <mergeCell ref="AC10:AC12"/>
    <mergeCell ref="AD10:AD12"/>
    <mergeCell ref="BM5:BM12"/>
    <mergeCell ref="G9:G12"/>
    <mergeCell ref="H9:H12"/>
    <mergeCell ref="I9:I12"/>
    <mergeCell ref="K9:K12"/>
    <mergeCell ref="L9:L12"/>
    <mergeCell ref="N9:N12"/>
    <mergeCell ref="AU7:AW7"/>
    <mergeCell ref="AY7:AZ7"/>
    <mergeCell ref="BA7:BB7"/>
    <mergeCell ref="AV9:AV12"/>
    <mergeCell ref="AW9:AW12"/>
    <mergeCell ref="AY9:AY12"/>
    <mergeCell ref="P9:P12"/>
    <mergeCell ref="Q9:Q12"/>
    <mergeCell ref="R9:R12"/>
    <mergeCell ref="S9:T9"/>
    <mergeCell ref="AE9:AE12"/>
    <mergeCell ref="AF9:AG9"/>
    <mergeCell ref="BE9:BE12"/>
    <mergeCell ref="AO9:AO12"/>
    <mergeCell ref="X5:AH5"/>
    <mergeCell ref="AU9:AU12"/>
    <mergeCell ref="AQ9:AQ12"/>
    <mergeCell ref="B13:C13"/>
    <mergeCell ref="B14:C14"/>
    <mergeCell ref="B15:C15"/>
    <mergeCell ref="B16:C16"/>
    <mergeCell ref="B17:C17"/>
    <mergeCell ref="J6:N6"/>
    <mergeCell ref="O5:W5"/>
    <mergeCell ref="O6:W6"/>
    <mergeCell ref="O7:W7"/>
    <mergeCell ref="I7:N7"/>
    <mergeCell ref="L8:M8"/>
    <mergeCell ref="R8:T8"/>
    <mergeCell ref="U8:W8"/>
    <mergeCell ref="V9:W9"/>
    <mergeCell ref="B18:C18"/>
    <mergeCell ref="BI9:BI12"/>
    <mergeCell ref="BK9:BK12"/>
    <mergeCell ref="BL9:BL12"/>
    <mergeCell ref="M10:M12"/>
    <mergeCell ref="S10:S12"/>
    <mergeCell ref="T10:T12"/>
    <mergeCell ref="AF10:AF12"/>
    <mergeCell ref="AG10:AG12"/>
    <mergeCell ref="AZ9:AZ12"/>
    <mergeCell ref="BA9:BA12"/>
    <mergeCell ref="BB9:BB12"/>
    <mergeCell ref="BD9:BD12"/>
    <mergeCell ref="BG9:BG12"/>
    <mergeCell ref="BH9:BH12"/>
    <mergeCell ref="AR9:AR12"/>
    <mergeCell ref="AH9:AH12"/>
    <mergeCell ref="AJ9:AJ12"/>
    <mergeCell ref="J9:J12"/>
    <mergeCell ref="O9:O12"/>
    <mergeCell ref="U9:U12"/>
    <mergeCell ref="V10:V12"/>
    <mergeCell ref="W10:W12"/>
    <mergeCell ref="AT9:AT12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73:C73"/>
    <mergeCell ref="B74:C74"/>
    <mergeCell ref="B75:C75"/>
    <mergeCell ref="B76:C76"/>
    <mergeCell ref="B78:C78"/>
    <mergeCell ref="B79:C79"/>
    <mergeCell ref="B67:C67"/>
    <mergeCell ref="B68:C68"/>
    <mergeCell ref="B69:C69"/>
    <mergeCell ref="B70:C70"/>
    <mergeCell ref="B71:C71"/>
    <mergeCell ref="B72:C72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98:C98"/>
    <mergeCell ref="B99:C99"/>
    <mergeCell ref="B100:C100"/>
    <mergeCell ref="B101:C101"/>
    <mergeCell ref="B102:C102"/>
    <mergeCell ref="B104:C104"/>
    <mergeCell ref="B92:C92"/>
    <mergeCell ref="B93:C93"/>
    <mergeCell ref="B94:C94"/>
    <mergeCell ref="B95:C95"/>
    <mergeCell ref="B96:C96"/>
    <mergeCell ref="B97:C97"/>
    <mergeCell ref="B113:C113"/>
    <mergeCell ref="B114:C114"/>
    <mergeCell ref="AW115:AX115"/>
    <mergeCell ref="BL115:BM115"/>
    <mergeCell ref="AO120:AQ120"/>
    <mergeCell ref="BF120:BG120"/>
    <mergeCell ref="B105:C105"/>
    <mergeCell ref="B106:C106"/>
    <mergeCell ref="B107:C107"/>
    <mergeCell ref="B108:C108"/>
    <mergeCell ref="B109:C109"/>
    <mergeCell ref="B112:C112"/>
    <mergeCell ref="BL118:BM118"/>
    <mergeCell ref="BL117:BM117"/>
    <mergeCell ref="BK7:BL7"/>
    <mergeCell ref="BI5:BL5"/>
    <mergeCell ref="BI6:BL6"/>
    <mergeCell ref="BI8:BL8"/>
    <mergeCell ref="AO8:AQ8"/>
    <mergeCell ref="AR5:AW5"/>
    <mergeCell ref="AR6:AW6"/>
    <mergeCell ref="AY5:AZ5"/>
    <mergeCell ref="AY6:AZ6"/>
    <mergeCell ref="BA5:BH5"/>
    <mergeCell ref="BA6:BH6"/>
    <mergeCell ref="BC7:BH7"/>
    <mergeCell ref="BD8:BH8"/>
    <mergeCell ref="AR8:AS8"/>
    <mergeCell ref="BC9:BC12"/>
    <mergeCell ref="AR7:AT7"/>
    <mergeCell ref="BF9:BF12"/>
    <mergeCell ref="AI6:AQ6"/>
    <mergeCell ref="BJ9:BJ12"/>
    <mergeCell ref="BI7:BJ7"/>
    <mergeCell ref="AI7:AL7"/>
    <mergeCell ref="AX5:AX12"/>
    <mergeCell ref="AS9:AS12"/>
    <mergeCell ref="AK9:AL12"/>
    <mergeCell ref="AP10:AP12"/>
    <mergeCell ref="AM9:AM12"/>
  </mergeCells>
  <printOptions horizontalCentered="1"/>
  <pageMargins left="0.6692913385826772" right="0.35433070866141736" top="0.43307086614173229" bottom="0.39370078740157483" header="0" footer="0"/>
  <pageSetup paperSize="9" scale="10" firstPageNumber="0" fitToWidth="0" fitToHeight="0" orientation="landscape" horizontalDpi="300" verticalDpi="300" r:id="rId1"/>
  <headerFooter differentFirst="1" alignWithMargins="0">
    <oddHeader>&amp;C&amp;"Times New Roman,обычный"&amp;54&amp;P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 </vt:lpstr>
      <vt:lpstr>'Дод 4 '!Заголовки_для_печати</vt:lpstr>
      <vt:lpstr>'Дод 4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2019-02-22T10:23:22Z</cp:lastPrinted>
  <dcterms:created xsi:type="dcterms:W3CDTF">2015-09-22T09:14:37Z</dcterms:created>
  <dcterms:modified xsi:type="dcterms:W3CDTF">2019-02-22T10:23:32Z</dcterms:modified>
</cp:coreProperties>
</file>